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3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<sst xmlns="http://schemas.openxmlformats.org/spreadsheetml/2006/main" count="173" uniqueCount="67">
  <si>
    <t>Расчетный месяц</t>
  </si>
  <si>
    <t xml:space="preserve">Наименование </t>
  </si>
  <si>
    <t>Количество, кВтч</t>
  </si>
  <si>
    <t>Цена (тариф) за единицу измерения</t>
  </si>
  <si>
    <t>Стоимость</t>
  </si>
  <si>
    <t>№ и дата фин. документа</t>
  </si>
  <si>
    <t>Тех. Расход, в пределах СПБ, 4 ЦК</t>
  </si>
  <si>
    <t xml:space="preserve"> - потребление э/э по нерег. ценам</t>
  </si>
  <si>
    <t xml:space="preserve"> - электрическая мощность</t>
  </si>
  <si>
    <t>Тех. Расход, в пределах СПБ, 1 ЦК</t>
  </si>
  <si>
    <t>Тех. Расход, сверх баланса, 1 ЦК</t>
  </si>
  <si>
    <t>Уровень нормативных потерь</t>
  </si>
  <si>
    <t>Источник опубликования Приказа РЭК</t>
  </si>
  <si>
    <t>Приказ РЭК № 578/91 от 31.12.2019г
(http://bptr.tarif.omskportal.ru/)</t>
  </si>
  <si>
    <t>Затраты на покупку потерь в собственных сетях по Договору № № 55100001012852:</t>
  </si>
  <si>
    <t>Потери электрической энергии в сети, МВтч</t>
  </si>
  <si>
    <t>Потери мощности в сети, МВт</t>
  </si>
  <si>
    <t>Источник публикации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</si>
  <si>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</si>
  <si>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*Размер фактических потерь, оплачиваемых покупателями при осуществлении расчетов за электроэнергию по уровням напряжения</t>
  </si>
  <si>
    <t>ВН</t>
  </si>
  <si>
    <t xml:space="preserve"> -</t>
  </si>
  <si>
    <t>СН1</t>
  </si>
  <si>
    <t>СН2</t>
  </si>
  <si>
    <t>НН</t>
  </si>
  <si>
    <r>
      <t xml:space="preserve">* - </t>
    </r>
    <r>
      <rPr>
        <sz val="10"/>
        <color indexed="8"/>
        <rFont val="Times New Roman"/>
        <family val="1"/>
      </rPr>
      <t>Информация о размере фактических потерь, оплачиваемых покупателями при осуществлении расчетов за электроэнергию отсутствует, в связи с отсутствием договорных отношений и расчетов между ИП Кацман В.В. и конечными потребителями – публикации на сайте не подлежит.</t>
    </r>
  </si>
  <si>
    <t>январь 2022г.</t>
  </si>
  <si>
    <t>Акт приема-передачи электроэнергии (мощности) и счет-фактура № 6800101032655/68 от 31.01.2022г.,корректировочный акт и счет-фактура №6800102051680/68 от 28.02.2022, корректировочный акт и счет-фактура №6800103085210/68 от 31.03.2022</t>
  </si>
  <si>
    <t>Всего январь 2022г.:</t>
  </si>
  <si>
    <t>февраль 2022г.</t>
  </si>
  <si>
    <t>Акт приема-передачи электроэнергии (мощности) и счет-фактура № 6800102064772/68 от 28.02.2022г., корректировочный акт и счет-фактура №6800103084901/68 от 31.03.2022</t>
  </si>
  <si>
    <t>Всего февраль 2022г.:</t>
  </si>
  <si>
    <t>март 2022г.</t>
  </si>
  <si>
    <t>Акт приема-передачи электроэнергии (мощности) и счет-фактура № 6800103097387/68 от 31.03.2022г.</t>
  </si>
  <si>
    <t>Всего март 2022г.:</t>
  </si>
  <si>
    <t>апрель 2022г.</t>
  </si>
  <si>
    <t xml:space="preserve">Акт приема-передачи электроэнергии (мощности) и счет-фактура № 6800104129312/68 от 30.04.2022г., корректировочный акт и счет-фактура №6800106177764/68 от 30.06.2022 </t>
  </si>
  <si>
    <t>Всего апрель 2022г.:</t>
  </si>
  <si>
    <t>май 2022г.</t>
  </si>
  <si>
    <t>Акт приема-передачи электроэнергии (мощности) и счет-фактура № 6800105160685/68 от 31.05.2022г.</t>
  </si>
  <si>
    <t>Всего май 2022г.:</t>
  </si>
  <si>
    <t>июнь 2022г.</t>
  </si>
  <si>
    <t>Акт приема-передачи электроэнергии (мощности) и счет-фактура № 6800106193928/68 от 30.06.2022г.</t>
  </si>
  <si>
    <t>Всего июнь 2022г.:</t>
  </si>
  <si>
    <t>июль 2022г.</t>
  </si>
  <si>
    <t>Акт приема-передачи электроэнергии (мощности) и счет-фактура № 6800107224435/68 от 31.07.2022г., корректировочный акт и счет-фактура №6800108241269/68 от 31.08.2022</t>
  </si>
  <si>
    <t>Всего июль 2022г.:</t>
  </si>
  <si>
    <t>август 2022г.</t>
  </si>
  <si>
    <t>Акт приема-передачи электроэнергии (мощности) и счет-фактура № 6800108254751/68 от 31.08.2022г., корректировочный акт и счет-фактура №6800110297292/68 от 31.10.2022</t>
  </si>
  <si>
    <t>Всего август 2022г.:</t>
  </si>
  <si>
    <t>сентябрь 2022г.</t>
  </si>
  <si>
    <t>Акт приема-передачи электроэнергии (мощности) и счет-фактура № 6800109286251/68 от 30.09.2022г., корректировочный акт и счет-фактура №6800110297294/68 от 31.10.2022</t>
  </si>
  <si>
    <t>Всего сентябрь 2022г.:</t>
  </si>
  <si>
    <t>октябрь 2022г.</t>
  </si>
  <si>
    <t>Акт приема-передачи электроэнергии (мощности) и счет-фактура № 6800110318004/68 от 31.10.2022г.</t>
  </si>
  <si>
    <t>Всего октябрь 2022г.:</t>
  </si>
  <si>
    <t>ноябрь 2022г.</t>
  </si>
  <si>
    <t>Акт приема-передачи электроэнергии (мощности) и счет-фактура № 6800111349287/68 от 30.11.2022г.</t>
  </si>
  <si>
    <t>Всего ноябрь 2022г.:</t>
  </si>
  <si>
    <t>декабрь 2022г.</t>
  </si>
  <si>
    <t>Акт приема-передачи электроэнергии (мощности) и счет-фактура № 6800112383545/68 от 31.12.2022г.</t>
  </si>
  <si>
    <t>Тех. Расход, сверх СПБ, 1 ЦК</t>
  </si>
  <si>
    <t>Всего декабрь 2022г.:</t>
  </si>
  <si>
    <t>ИТОГО:</t>
  </si>
  <si>
    <t>Затраты на оплату (компенсацию) потерь ИП Кацман В.В. 2022 год (факт)</t>
  </si>
  <si>
    <t xml:space="preserve">Закупка электрической энергии для компенсации потерь в сетях (план согласно объему, учтенному в СПБ на 2022г. </t>
  </si>
  <si>
    <t>Приказ ФАС РФ № 1299/21-ДСП от 23.11.2022г.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</si>
</sst>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0"/>
    <numFmt numFmtId="175" formatCode="[$-419]mmmm\ yyyy;@"/>
    <numFmt numFmtId="176" formatCode="0.0000"/>
    <numFmt numFmtId="177" formatCode="#,##0.00000"/>
    <numFmt numFmtId="178" formatCode="#,##0.000000"/>
    <numFmt numFmtId="179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172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2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3" fontId="4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4" fontId="42" fillId="0" borderId="10" xfId="0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4" fontId="45" fillId="0" borderId="0" xfId="0" applyNumberFormat="1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vertical="center" wrapText="1"/>
    </xf>
    <xf numFmtId="178" fontId="42" fillId="0" borderId="0" xfId="0" applyNumberFormat="1" applyFont="1" applyAlignment="1">
      <alignment vertical="center" wrapText="1"/>
    </xf>
    <xf numFmtId="178" fontId="43" fillId="0" borderId="10" xfId="0" applyNumberFormat="1" applyFont="1" applyBorder="1" applyAlignment="1">
      <alignment vertical="center" wrapText="1"/>
    </xf>
    <xf numFmtId="179" fontId="42" fillId="0" borderId="10" xfId="0" applyNumberFormat="1" applyFont="1" applyBorder="1" applyAlignment="1">
      <alignment vertical="center" wrapText="1"/>
    </xf>
    <xf numFmtId="178" fontId="42" fillId="0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78" fontId="43" fillId="0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left" wrapText="1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1" fontId="43" fillId="0" borderId="17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selection activeCell="O101" sqref="O101"/>
    </sheetView>
  </sheetViews>
  <sheetFormatPr defaultColWidth="9.140625" defaultRowHeight="15"/>
  <cols>
    <col min="1" max="1" width="21.421875" style="0" customWidth="1"/>
    <col min="3" max="3" width="26.7109375" style="0" customWidth="1"/>
    <col min="4" max="4" width="20.28125" style="0" customWidth="1"/>
    <col min="5" max="5" width="14.00390625" style="0" customWidth="1"/>
    <col min="6" max="6" width="11.57421875" style="0" customWidth="1"/>
    <col min="9" max="9" width="30.00390625" style="0" customWidth="1"/>
    <col min="10" max="10" width="14.28125" style="0" customWidth="1"/>
    <col min="11" max="11" width="20.7109375" style="0" customWidth="1"/>
  </cols>
  <sheetData>
    <row r="1" spans="1:11" s="1" customFormat="1" ht="15.75">
      <c r="A1" s="63" t="s">
        <v>64</v>
      </c>
      <c r="B1" s="63"/>
      <c r="C1" s="63"/>
      <c r="D1" s="63"/>
      <c r="E1" s="63"/>
      <c r="F1" s="63"/>
      <c r="G1" s="63"/>
      <c r="H1" s="63"/>
      <c r="J1" s="13"/>
      <c r="K1" s="13"/>
    </row>
    <row r="2" spans="1:11" s="1" customFormat="1" ht="15">
      <c r="A2" s="7"/>
      <c r="J2" s="13"/>
      <c r="K2" s="13"/>
    </row>
    <row r="3" spans="1:11" s="1" customFormat="1" ht="24.7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13"/>
      <c r="K3" s="13"/>
    </row>
    <row r="4" spans="1:11" s="5" customFormat="1" ht="45">
      <c r="A4" s="16" t="s">
        <v>0</v>
      </c>
      <c r="B4" s="64" t="s">
        <v>1</v>
      </c>
      <c r="C4" s="64"/>
      <c r="D4" s="22" t="s">
        <v>2</v>
      </c>
      <c r="E4" s="22" t="s">
        <v>3</v>
      </c>
      <c r="F4" s="65" t="s">
        <v>4</v>
      </c>
      <c r="G4" s="66"/>
      <c r="H4" s="65" t="s">
        <v>5</v>
      </c>
      <c r="I4" s="66"/>
      <c r="J4" s="3" t="s">
        <v>11</v>
      </c>
      <c r="K4" s="3" t="s">
        <v>12</v>
      </c>
    </row>
    <row r="5" spans="1:11" s="5" customFormat="1" ht="15">
      <c r="A5" s="52" t="s">
        <v>26</v>
      </c>
      <c r="B5" s="35" t="s">
        <v>6</v>
      </c>
      <c r="C5" s="35"/>
      <c r="D5" s="6"/>
      <c r="E5" s="6"/>
      <c r="F5" s="42"/>
      <c r="G5" s="42"/>
      <c r="H5" s="42" t="s">
        <v>27</v>
      </c>
      <c r="I5" s="42"/>
      <c r="J5" s="43">
        <v>0.0291</v>
      </c>
      <c r="K5" s="42" t="s">
        <v>13</v>
      </c>
    </row>
    <row r="6" spans="1:11" s="5" customFormat="1" ht="15">
      <c r="A6" s="53"/>
      <c r="B6" s="35" t="s">
        <v>7</v>
      </c>
      <c r="C6" s="35"/>
      <c r="D6" s="25">
        <v>2409.4</v>
      </c>
      <c r="E6" s="14">
        <v>1.40905</v>
      </c>
      <c r="F6" s="51">
        <f>ROUND(D6*E6*1.2,2)</f>
        <v>4073.96</v>
      </c>
      <c r="G6" s="51"/>
      <c r="H6" s="42"/>
      <c r="I6" s="42"/>
      <c r="J6" s="42"/>
      <c r="K6" s="42"/>
    </row>
    <row r="7" spans="1:11" s="5" customFormat="1" ht="15">
      <c r="A7" s="53"/>
      <c r="B7" s="35" t="s">
        <v>8</v>
      </c>
      <c r="C7" s="35"/>
      <c r="D7" s="6">
        <v>4.528087</v>
      </c>
      <c r="E7" s="14">
        <v>792.53692</v>
      </c>
      <c r="F7" s="51">
        <f>ROUNDUP(D7*E7*1.2,2)</f>
        <v>4306.42</v>
      </c>
      <c r="G7" s="51"/>
      <c r="H7" s="42"/>
      <c r="I7" s="42"/>
      <c r="J7" s="42"/>
      <c r="K7" s="42"/>
    </row>
    <row r="8" spans="1:11" s="5" customFormat="1" ht="15">
      <c r="A8" s="53"/>
      <c r="B8" s="35" t="s">
        <v>6</v>
      </c>
      <c r="C8" s="35"/>
      <c r="D8" s="6"/>
      <c r="E8" s="14"/>
      <c r="F8" s="51"/>
      <c r="G8" s="51"/>
      <c r="H8" s="42"/>
      <c r="I8" s="42"/>
      <c r="J8" s="42"/>
      <c r="K8" s="42"/>
    </row>
    <row r="9" spans="1:11" s="5" customFormat="1" ht="15">
      <c r="A9" s="53"/>
      <c r="B9" s="35" t="s">
        <v>7</v>
      </c>
      <c r="C9" s="35"/>
      <c r="D9" s="25">
        <v>19707.558</v>
      </c>
      <c r="E9" s="14">
        <v>1.37833</v>
      </c>
      <c r="F9" s="51">
        <f>ROUND(D9*E9*1.2,2)</f>
        <v>32596.22</v>
      </c>
      <c r="G9" s="51"/>
      <c r="H9" s="42"/>
      <c r="I9" s="42"/>
      <c r="J9" s="42"/>
      <c r="K9" s="42"/>
    </row>
    <row r="10" spans="1:11" s="5" customFormat="1" ht="15">
      <c r="A10" s="53"/>
      <c r="B10" s="35" t="s">
        <v>8</v>
      </c>
      <c r="C10" s="35"/>
      <c r="D10" s="6">
        <v>26.931884</v>
      </c>
      <c r="E10" s="14">
        <v>792.53692</v>
      </c>
      <c r="F10" s="51">
        <f>ROUND(D10*E10*1.2,2)</f>
        <v>25613.41</v>
      </c>
      <c r="G10" s="51"/>
      <c r="H10" s="42"/>
      <c r="I10" s="42"/>
      <c r="J10" s="42"/>
      <c r="K10" s="42"/>
    </row>
    <row r="11" spans="1:11" s="5" customFormat="1" ht="15">
      <c r="A11" s="53"/>
      <c r="B11" s="35" t="s">
        <v>9</v>
      </c>
      <c r="C11" s="35"/>
      <c r="D11" s="6"/>
      <c r="E11" s="14"/>
      <c r="F11" s="51"/>
      <c r="G11" s="51"/>
      <c r="H11" s="42"/>
      <c r="I11" s="42"/>
      <c r="J11" s="42"/>
      <c r="K11" s="42"/>
    </row>
    <row r="12" spans="1:11" s="5" customFormat="1" ht="15">
      <c r="A12" s="54"/>
      <c r="B12" s="35" t="s">
        <v>7</v>
      </c>
      <c r="C12" s="35"/>
      <c r="D12" s="26">
        <v>307834.051124</v>
      </c>
      <c r="E12" s="14">
        <v>2.64315</v>
      </c>
      <c r="F12" s="51">
        <f>ROUND(D12*E12*1.2,2)+0.03</f>
        <v>976381.92</v>
      </c>
      <c r="G12" s="51"/>
      <c r="H12" s="42"/>
      <c r="I12" s="42"/>
      <c r="J12" s="42"/>
      <c r="K12" s="42"/>
    </row>
    <row r="13" spans="1:11" s="5" customFormat="1" ht="15">
      <c r="A13" s="6"/>
      <c r="B13" s="44" t="s">
        <v>28</v>
      </c>
      <c r="C13" s="44"/>
      <c r="D13" s="27">
        <f>SUM(D6+D9+D12)-25805.609+520.332</f>
        <v>304665.732124</v>
      </c>
      <c r="E13" s="10"/>
      <c r="F13" s="45">
        <f>SUM(F5:G12)-81849.73+1650.38</f>
        <v>962772.5800000001</v>
      </c>
      <c r="G13" s="45"/>
      <c r="H13" s="42"/>
      <c r="I13" s="42"/>
      <c r="J13" s="42"/>
      <c r="K13" s="42"/>
    </row>
    <row r="14" spans="1:11" s="5" customFormat="1" ht="15" customHeight="1">
      <c r="A14" s="52" t="s">
        <v>29</v>
      </c>
      <c r="B14" s="35" t="s">
        <v>6</v>
      </c>
      <c r="C14" s="35"/>
      <c r="D14" s="6"/>
      <c r="E14" s="6"/>
      <c r="F14" s="42"/>
      <c r="G14" s="42"/>
      <c r="H14" s="55" t="s">
        <v>30</v>
      </c>
      <c r="I14" s="56"/>
      <c r="J14" s="43">
        <v>0.0291</v>
      </c>
      <c r="K14" s="42" t="s">
        <v>13</v>
      </c>
    </row>
    <row r="15" spans="1:11" s="5" customFormat="1" ht="15">
      <c r="A15" s="53"/>
      <c r="B15" s="35" t="s">
        <v>7</v>
      </c>
      <c r="C15" s="35"/>
      <c r="D15" s="25">
        <v>2907.5</v>
      </c>
      <c r="E15" s="14">
        <v>1.52279</v>
      </c>
      <c r="F15" s="51">
        <f>ROUND(D15*E15*1.2,2)</f>
        <v>5313.01</v>
      </c>
      <c r="G15" s="51"/>
      <c r="H15" s="57"/>
      <c r="I15" s="58"/>
      <c r="J15" s="42"/>
      <c r="K15" s="42"/>
    </row>
    <row r="16" spans="1:11" s="5" customFormat="1" ht="15">
      <c r="A16" s="53"/>
      <c r="B16" s="35" t="s">
        <v>8</v>
      </c>
      <c r="C16" s="35"/>
      <c r="D16" s="6">
        <v>5.919858</v>
      </c>
      <c r="E16" s="14">
        <v>819.86059</v>
      </c>
      <c r="F16" s="51">
        <f>ROUNDUP(D16*E16*1.2,2)</f>
        <v>5824.150000000001</v>
      </c>
      <c r="G16" s="51"/>
      <c r="H16" s="57"/>
      <c r="I16" s="58"/>
      <c r="J16" s="42"/>
      <c r="K16" s="42"/>
    </row>
    <row r="17" spans="1:11" s="5" customFormat="1" ht="15">
      <c r="A17" s="53"/>
      <c r="B17" s="35" t="s">
        <v>9</v>
      </c>
      <c r="C17" s="35"/>
      <c r="D17" s="6"/>
      <c r="E17" s="14"/>
      <c r="F17" s="51"/>
      <c r="G17" s="51"/>
      <c r="H17" s="57"/>
      <c r="I17" s="58"/>
      <c r="J17" s="42"/>
      <c r="K17" s="42"/>
    </row>
    <row r="18" spans="1:11" s="5" customFormat="1" ht="15">
      <c r="A18" s="54"/>
      <c r="B18" s="35" t="s">
        <v>7</v>
      </c>
      <c r="C18" s="35"/>
      <c r="D18" s="26">
        <v>161642.052133</v>
      </c>
      <c r="E18" s="14">
        <v>2.97681</v>
      </c>
      <c r="F18" s="51">
        <f>ROUND(D18*E18*1.2,2)-0.03</f>
        <v>577413.1799999999</v>
      </c>
      <c r="G18" s="51"/>
      <c r="H18" s="57"/>
      <c r="I18" s="58"/>
      <c r="J18" s="42"/>
      <c r="K18" s="42"/>
    </row>
    <row r="19" spans="1:11" s="5" customFormat="1" ht="15">
      <c r="A19" s="6"/>
      <c r="B19" s="44" t="s">
        <v>31</v>
      </c>
      <c r="C19" s="44"/>
      <c r="D19" s="27">
        <f>SUM(D15+D18)-520.332</f>
        <v>164029.220133</v>
      </c>
      <c r="E19" s="10"/>
      <c r="F19" s="45">
        <f>SUM(F14:G18)-1858.71</f>
        <v>586691.63</v>
      </c>
      <c r="G19" s="45"/>
      <c r="H19" s="59"/>
      <c r="I19" s="60"/>
      <c r="J19" s="42"/>
      <c r="K19" s="42"/>
    </row>
    <row r="20" spans="1:11" s="5" customFormat="1" ht="15" customHeight="1">
      <c r="A20" s="52" t="s">
        <v>32</v>
      </c>
      <c r="B20" s="35" t="s">
        <v>6</v>
      </c>
      <c r="C20" s="35"/>
      <c r="D20" s="6"/>
      <c r="E20" s="6"/>
      <c r="F20" s="42"/>
      <c r="G20" s="42"/>
      <c r="H20" s="42" t="s">
        <v>33</v>
      </c>
      <c r="I20" s="42"/>
      <c r="J20" s="43">
        <v>0.0291</v>
      </c>
      <c r="K20" s="42" t="s">
        <v>13</v>
      </c>
    </row>
    <row r="21" spans="1:11" s="5" customFormat="1" ht="15" customHeight="1">
      <c r="A21" s="53"/>
      <c r="B21" s="35" t="s">
        <v>7</v>
      </c>
      <c r="C21" s="35"/>
      <c r="D21" s="25">
        <v>3130.2</v>
      </c>
      <c r="E21" s="14">
        <v>1.54895</v>
      </c>
      <c r="F21" s="51">
        <f>ROUNDDOWN(D21*E21*1.2,2)</f>
        <v>5818.22</v>
      </c>
      <c r="G21" s="51"/>
      <c r="H21" s="42"/>
      <c r="I21" s="42"/>
      <c r="J21" s="42"/>
      <c r="K21" s="42"/>
    </row>
    <row r="22" spans="1:11" s="5" customFormat="1" ht="15" customHeight="1">
      <c r="A22" s="53"/>
      <c r="B22" s="35" t="s">
        <v>8</v>
      </c>
      <c r="C22" s="35"/>
      <c r="D22" s="6">
        <v>5.69036</v>
      </c>
      <c r="E22" s="14">
        <v>796.11957</v>
      </c>
      <c r="F22" s="51">
        <f>ROUNDUP(D22*E22*1.2,2)</f>
        <v>5436.25</v>
      </c>
      <c r="G22" s="51"/>
      <c r="H22" s="42"/>
      <c r="I22" s="42"/>
      <c r="J22" s="42"/>
      <c r="K22" s="42"/>
    </row>
    <row r="23" spans="1:11" s="5" customFormat="1" ht="15" customHeight="1">
      <c r="A23" s="53"/>
      <c r="B23" s="35" t="s">
        <v>6</v>
      </c>
      <c r="C23" s="35"/>
      <c r="D23" s="6"/>
      <c r="E23" s="14"/>
      <c r="F23" s="51"/>
      <c r="G23" s="51"/>
      <c r="H23" s="42"/>
      <c r="I23" s="42"/>
      <c r="J23" s="42"/>
      <c r="K23" s="42"/>
    </row>
    <row r="24" spans="1:11" s="5" customFormat="1" ht="15" customHeight="1">
      <c r="A24" s="53"/>
      <c r="B24" s="35" t="s">
        <v>7</v>
      </c>
      <c r="C24" s="35"/>
      <c r="D24" s="25">
        <v>8054.0758</v>
      </c>
      <c r="E24" s="14">
        <v>1.51355</v>
      </c>
      <c r="F24" s="51">
        <f>ROUND(D24*E24*1.2,2)</f>
        <v>14628.3</v>
      </c>
      <c r="G24" s="51"/>
      <c r="H24" s="42"/>
      <c r="I24" s="42"/>
      <c r="J24" s="42"/>
      <c r="K24" s="42"/>
    </row>
    <row r="25" spans="1:11" s="5" customFormat="1" ht="15" customHeight="1">
      <c r="A25" s="53"/>
      <c r="B25" s="35" t="s">
        <v>8</v>
      </c>
      <c r="C25" s="35"/>
      <c r="D25" s="6">
        <v>10.84419</v>
      </c>
      <c r="E25" s="14">
        <v>796.11957</v>
      </c>
      <c r="F25" s="51">
        <f>ROUNDDOWN(D25*E25*1.2,2)</f>
        <v>10359.92</v>
      </c>
      <c r="G25" s="51"/>
      <c r="H25" s="42"/>
      <c r="I25" s="42"/>
      <c r="J25" s="42"/>
      <c r="K25" s="42"/>
    </row>
    <row r="26" spans="1:11" s="5" customFormat="1" ht="15">
      <c r="A26" s="53"/>
      <c r="B26" s="35" t="s">
        <v>9</v>
      </c>
      <c r="C26" s="35"/>
      <c r="D26" s="6"/>
      <c r="E26" s="14"/>
      <c r="F26" s="51"/>
      <c r="G26" s="51"/>
      <c r="H26" s="42"/>
      <c r="I26" s="42"/>
      <c r="J26" s="42"/>
      <c r="K26" s="42"/>
    </row>
    <row r="27" spans="1:11" s="5" customFormat="1" ht="15">
      <c r="A27" s="54"/>
      <c r="B27" s="35" t="s">
        <v>7</v>
      </c>
      <c r="C27" s="35"/>
      <c r="D27" s="26">
        <v>233126.415107</v>
      </c>
      <c r="E27" s="14">
        <v>2.71139</v>
      </c>
      <c r="F27" s="51">
        <f>ROUNDDOWN(D27*E27*1.2,2)-0.01</f>
        <v>758515.94</v>
      </c>
      <c r="G27" s="51"/>
      <c r="H27" s="42"/>
      <c r="I27" s="42"/>
      <c r="J27" s="42"/>
      <c r="K27" s="42"/>
    </row>
    <row r="28" spans="1:11" s="5" customFormat="1" ht="15">
      <c r="A28" s="6"/>
      <c r="B28" s="44" t="s">
        <v>34</v>
      </c>
      <c r="C28" s="44"/>
      <c r="D28" s="27">
        <f>SUM(D21+D24+D27)</f>
        <v>244310.690907</v>
      </c>
      <c r="E28" s="10"/>
      <c r="F28" s="45">
        <f>SUM(F20:G27)</f>
        <v>794758.6299999999</v>
      </c>
      <c r="G28" s="45"/>
      <c r="H28" s="42"/>
      <c r="I28" s="42"/>
      <c r="J28" s="42"/>
      <c r="K28" s="42"/>
    </row>
    <row r="29" spans="1:11" s="5" customFormat="1" ht="15" customHeight="1">
      <c r="A29" s="52" t="s">
        <v>35</v>
      </c>
      <c r="B29" s="35" t="s">
        <v>6</v>
      </c>
      <c r="C29" s="35"/>
      <c r="D29" s="6"/>
      <c r="E29" s="6"/>
      <c r="F29" s="42"/>
      <c r="G29" s="42"/>
      <c r="H29" s="55" t="s">
        <v>36</v>
      </c>
      <c r="I29" s="56"/>
      <c r="J29" s="43">
        <v>0.0291</v>
      </c>
      <c r="K29" s="42" t="s">
        <v>13</v>
      </c>
    </row>
    <row r="30" spans="1:11" s="5" customFormat="1" ht="15">
      <c r="A30" s="53"/>
      <c r="B30" s="35" t="s">
        <v>7</v>
      </c>
      <c r="C30" s="35"/>
      <c r="D30" s="25">
        <v>3152.8</v>
      </c>
      <c r="E30" s="14">
        <v>1.51292</v>
      </c>
      <c r="F30" s="51">
        <f>ROUND(D30*E30*1.2,2)</f>
        <v>5723.92</v>
      </c>
      <c r="G30" s="51"/>
      <c r="H30" s="57"/>
      <c r="I30" s="58"/>
      <c r="J30" s="42"/>
      <c r="K30" s="42"/>
    </row>
    <row r="31" spans="1:11" s="5" customFormat="1" ht="15">
      <c r="A31" s="53"/>
      <c r="B31" s="35" t="s">
        <v>8</v>
      </c>
      <c r="C31" s="35"/>
      <c r="D31" s="6">
        <v>5.841921</v>
      </c>
      <c r="E31" s="14">
        <v>764.19086</v>
      </c>
      <c r="F31" s="51">
        <f>ROUND(D31*E31*1.2,2)</f>
        <v>5357.21</v>
      </c>
      <c r="G31" s="51"/>
      <c r="H31" s="57"/>
      <c r="I31" s="58"/>
      <c r="J31" s="42"/>
      <c r="K31" s="42"/>
    </row>
    <row r="32" spans="1:11" s="5" customFormat="1" ht="15">
      <c r="A32" s="53"/>
      <c r="B32" s="35" t="s">
        <v>9</v>
      </c>
      <c r="C32" s="35"/>
      <c r="D32" s="6"/>
      <c r="E32" s="14"/>
      <c r="F32" s="51"/>
      <c r="G32" s="51"/>
      <c r="H32" s="57"/>
      <c r="I32" s="58"/>
      <c r="J32" s="42"/>
      <c r="K32" s="42"/>
    </row>
    <row r="33" spans="1:11" s="5" customFormat="1" ht="15">
      <c r="A33" s="54"/>
      <c r="B33" s="35" t="s">
        <v>7</v>
      </c>
      <c r="C33" s="35"/>
      <c r="D33" s="26">
        <v>288010.502387</v>
      </c>
      <c r="E33" s="14">
        <v>2.68636</v>
      </c>
      <c r="F33" s="51">
        <f>ROUND(D33*E33*1.2,2)-0.02</f>
        <v>928439.85</v>
      </c>
      <c r="G33" s="51"/>
      <c r="H33" s="57"/>
      <c r="I33" s="58"/>
      <c r="J33" s="42"/>
      <c r="K33" s="42"/>
    </row>
    <row r="34" spans="1:11" s="5" customFormat="1" ht="15">
      <c r="A34" s="6"/>
      <c r="B34" s="44" t="s">
        <v>37</v>
      </c>
      <c r="C34" s="44"/>
      <c r="D34" s="27">
        <f>SUM(D30+D33)-13829.8618</f>
        <v>277333.440587</v>
      </c>
      <c r="E34" s="10"/>
      <c r="F34" s="45">
        <f>SUM(F29:G33)-44582.39</f>
        <v>894938.59</v>
      </c>
      <c r="G34" s="45"/>
      <c r="H34" s="59"/>
      <c r="I34" s="60"/>
      <c r="J34" s="42"/>
      <c r="K34" s="42"/>
    </row>
    <row r="35" spans="1:11" s="5" customFormat="1" ht="15">
      <c r="A35" s="52" t="s">
        <v>38</v>
      </c>
      <c r="B35" s="35" t="s">
        <v>6</v>
      </c>
      <c r="C35" s="35"/>
      <c r="D35" s="6"/>
      <c r="E35" s="6"/>
      <c r="F35" s="42"/>
      <c r="G35" s="42"/>
      <c r="H35" s="55" t="s">
        <v>39</v>
      </c>
      <c r="I35" s="56"/>
      <c r="J35" s="43">
        <v>0.0291</v>
      </c>
      <c r="K35" s="42" t="s">
        <v>13</v>
      </c>
    </row>
    <row r="36" spans="1:11" s="5" customFormat="1" ht="15">
      <c r="A36" s="53"/>
      <c r="B36" s="35" t="s">
        <v>7</v>
      </c>
      <c r="C36" s="35"/>
      <c r="D36" s="25">
        <v>2665.192141</v>
      </c>
      <c r="E36" s="14">
        <v>1.43961</v>
      </c>
      <c r="F36" s="51">
        <f>ROUNDUP(D36*E36*1.2,2)</f>
        <v>4604.21</v>
      </c>
      <c r="G36" s="51"/>
      <c r="H36" s="57"/>
      <c r="I36" s="58"/>
      <c r="J36" s="42"/>
      <c r="K36" s="42"/>
    </row>
    <row r="37" spans="1:11" s="5" customFormat="1" ht="15">
      <c r="A37" s="53"/>
      <c r="B37" s="35" t="s">
        <v>8</v>
      </c>
      <c r="C37" s="35"/>
      <c r="D37" s="6">
        <v>3.541032</v>
      </c>
      <c r="E37" s="14">
        <v>776.53883</v>
      </c>
      <c r="F37" s="51">
        <f>ROUND(D37*E37*1.2,2)</f>
        <v>3299.7</v>
      </c>
      <c r="G37" s="51"/>
      <c r="H37" s="57"/>
      <c r="I37" s="58"/>
      <c r="J37" s="42"/>
      <c r="K37" s="42"/>
    </row>
    <row r="38" spans="1:11" s="5" customFormat="1" ht="15">
      <c r="A38" s="53"/>
      <c r="B38" s="35" t="s">
        <v>9</v>
      </c>
      <c r="C38" s="35"/>
      <c r="D38" s="6"/>
      <c r="E38" s="14"/>
      <c r="F38" s="51"/>
      <c r="G38" s="51"/>
      <c r="H38" s="57"/>
      <c r="I38" s="58"/>
      <c r="J38" s="42"/>
      <c r="K38" s="42"/>
    </row>
    <row r="39" spans="1:11" s="5" customFormat="1" ht="15">
      <c r="A39" s="54"/>
      <c r="B39" s="35" t="s">
        <v>7</v>
      </c>
      <c r="C39" s="35"/>
      <c r="D39" s="26">
        <v>236685.70984</v>
      </c>
      <c r="E39" s="14">
        <v>2.62168</v>
      </c>
      <c r="F39" s="51">
        <f>ROUNDDOWN(D39*E39*1.2,2)-0.05</f>
        <v>744616.98</v>
      </c>
      <c r="G39" s="51"/>
      <c r="H39" s="57"/>
      <c r="I39" s="58"/>
      <c r="J39" s="42"/>
      <c r="K39" s="42"/>
    </row>
    <row r="40" spans="1:11" s="5" customFormat="1" ht="15">
      <c r="A40" s="6"/>
      <c r="B40" s="44" t="s">
        <v>40</v>
      </c>
      <c r="C40" s="44"/>
      <c r="D40" s="27">
        <f>SUM(D36+D39)</f>
        <v>239350.901981</v>
      </c>
      <c r="E40" s="10"/>
      <c r="F40" s="45">
        <f>SUM(F35:G39)</f>
        <v>752520.89</v>
      </c>
      <c r="G40" s="45"/>
      <c r="H40" s="59"/>
      <c r="I40" s="60"/>
      <c r="J40" s="42"/>
      <c r="K40" s="42"/>
    </row>
    <row r="41" spans="1:11" s="5" customFormat="1" ht="15">
      <c r="A41" s="52" t="s">
        <v>41</v>
      </c>
      <c r="B41" s="35" t="s">
        <v>6</v>
      </c>
      <c r="C41" s="35"/>
      <c r="D41" s="6"/>
      <c r="E41" s="6"/>
      <c r="F41" s="42"/>
      <c r="G41" s="42"/>
      <c r="H41" s="55" t="s">
        <v>42</v>
      </c>
      <c r="I41" s="56"/>
      <c r="J41" s="43">
        <v>0.0291</v>
      </c>
      <c r="K41" s="42" t="s">
        <v>13</v>
      </c>
    </row>
    <row r="42" spans="1:11" s="5" customFormat="1" ht="15">
      <c r="A42" s="53"/>
      <c r="B42" s="35" t="s">
        <v>7</v>
      </c>
      <c r="C42" s="35"/>
      <c r="D42" s="25">
        <v>1813.8616</v>
      </c>
      <c r="E42" s="14">
        <v>1.41323</v>
      </c>
      <c r="F42" s="51">
        <f>ROUND(D42*E42*1.2,2)</f>
        <v>3076.08</v>
      </c>
      <c r="G42" s="51"/>
      <c r="H42" s="57"/>
      <c r="I42" s="58"/>
      <c r="J42" s="42"/>
      <c r="K42" s="42"/>
    </row>
    <row r="43" spans="1:11" s="5" customFormat="1" ht="15">
      <c r="A43" s="53"/>
      <c r="B43" s="35" t="s">
        <v>8</v>
      </c>
      <c r="C43" s="35"/>
      <c r="D43" s="6">
        <v>2.674608</v>
      </c>
      <c r="E43" s="14">
        <v>749.90046</v>
      </c>
      <c r="F43" s="51">
        <f>ROUND(D43*E43*1.2,2)</f>
        <v>2406.83</v>
      </c>
      <c r="G43" s="51"/>
      <c r="H43" s="57"/>
      <c r="I43" s="58"/>
      <c r="J43" s="42"/>
      <c r="K43" s="42"/>
    </row>
    <row r="44" spans="1:11" s="5" customFormat="1" ht="15">
      <c r="A44" s="53"/>
      <c r="B44" s="35" t="s">
        <v>9</v>
      </c>
      <c r="C44" s="35"/>
      <c r="D44" s="6"/>
      <c r="E44" s="14"/>
      <c r="F44" s="51"/>
      <c r="G44" s="51"/>
      <c r="H44" s="57"/>
      <c r="I44" s="58"/>
      <c r="J44" s="42"/>
      <c r="K44" s="42"/>
    </row>
    <row r="45" spans="1:11" s="5" customFormat="1" ht="15">
      <c r="A45" s="54"/>
      <c r="B45" s="35" t="s">
        <v>7</v>
      </c>
      <c r="C45" s="35"/>
      <c r="D45" s="26">
        <v>172819.8408</v>
      </c>
      <c r="E45" s="14">
        <v>2.65483</v>
      </c>
      <c r="F45" s="51">
        <f>ROUND(D45*E45*1.2,2)</f>
        <v>550568.76</v>
      </c>
      <c r="G45" s="51"/>
      <c r="H45" s="57"/>
      <c r="I45" s="58"/>
      <c r="J45" s="42"/>
      <c r="K45" s="42"/>
    </row>
    <row r="46" spans="1:11" s="5" customFormat="1" ht="15">
      <c r="A46" s="6"/>
      <c r="B46" s="44" t="s">
        <v>43</v>
      </c>
      <c r="C46" s="44"/>
      <c r="D46" s="27">
        <f>SUM(D42+D45)</f>
        <v>174633.7024</v>
      </c>
      <c r="E46" s="10"/>
      <c r="F46" s="45">
        <f>SUM(F41:G45)</f>
        <v>556051.67</v>
      </c>
      <c r="G46" s="45"/>
      <c r="H46" s="59"/>
      <c r="I46" s="60"/>
      <c r="J46" s="42"/>
      <c r="K46" s="42"/>
    </row>
    <row r="47" spans="1:11" s="5" customFormat="1" ht="15">
      <c r="A47" s="35" t="s">
        <v>44</v>
      </c>
      <c r="B47" s="35" t="s">
        <v>6</v>
      </c>
      <c r="C47" s="35"/>
      <c r="D47" s="6"/>
      <c r="E47" s="6"/>
      <c r="F47" s="42"/>
      <c r="G47" s="42"/>
      <c r="H47" s="42" t="s">
        <v>45</v>
      </c>
      <c r="I47" s="42"/>
      <c r="J47" s="43">
        <v>0.0291</v>
      </c>
      <c r="K47" s="42" t="s">
        <v>13</v>
      </c>
    </row>
    <row r="48" spans="1:11" s="5" customFormat="1" ht="15">
      <c r="A48" s="35"/>
      <c r="B48" s="35" t="s">
        <v>7</v>
      </c>
      <c r="C48" s="35"/>
      <c r="D48" s="25">
        <v>5754.775</v>
      </c>
      <c r="E48" s="14">
        <v>1.5766</v>
      </c>
      <c r="F48" s="51">
        <f>ROUNDUP(D48*E48*1.2,2)</f>
        <v>10887.58</v>
      </c>
      <c r="G48" s="51"/>
      <c r="H48" s="42"/>
      <c r="I48" s="42"/>
      <c r="J48" s="42"/>
      <c r="K48" s="42"/>
    </row>
    <row r="49" spans="1:11" s="5" customFormat="1" ht="15">
      <c r="A49" s="35"/>
      <c r="B49" s="35" t="s">
        <v>8</v>
      </c>
      <c r="C49" s="35"/>
      <c r="D49" s="6">
        <v>8.2794</v>
      </c>
      <c r="E49" s="14">
        <v>746.62101</v>
      </c>
      <c r="F49" s="51">
        <f>ROUNDDOWN(D49*E49*1.2,2)</f>
        <v>7417.88</v>
      </c>
      <c r="G49" s="51"/>
      <c r="H49" s="42"/>
      <c r="I49" s="42"/>
      <c r="J49" s="42"/>
      <c r="K49" s="42"/>
    </row>
    <row r="50" spans="1:11" s="5" customFormat="1" ht="15">
      <c r="A50" s="35"/>
      <c r="B50" s="35" t="s">
        <v>6</v>
      </c>
      <c r="C50" s="35"/>
      <c r="D50" s="6"/>
      <c r="E50" s="14"/>
      <c r="F50" s="51"/>
      <c r="G50" s="51"/>
      <c r="H50" s="42"/>
      <c r="I50" s="42"/>
      <c r="J50" s="42"/>
      <c r="K50" s="42"/>
    </row>
    <row r="51" spans="1:11" s="5" customFormat="1" ht="15">
      <c r="A51" s="35"/>
      <c r="B51" s="35" t="s">
        <v>7</v>
      </c>
      <c r="C51" s="35"/>
      <c r="D51" s="25">
        <v>1976.8168</v>
      </c>
      <c r="E51" s="14">
        <v>1.54915</v>
      </c>
      <c r="F51" s="51">
        <f>ROUNDUP(D51*E51*1.2,2)</f>
        <v>3674.8700000000003</v>
      </c>
      <c r="G51" s="51"/>
      <c r="H51" s="42"/>
      <c r="I51" s="42"/>
      <c r="J51" s="42"/>
      <c r="K51" s="42"/>
    </row>
    <row r="52" spans="1:11" s="5" customFormat="1" ht="15">
      <c r="A52" s="35"/>
      <c r="B52" s="35" t="s">
        <v>8</v>
      </c>
      <c r="C52" s="35"/>
      <c r="D52" s="28">
        <v>2.789612</v>
      </c>
      <c r="E52" s="14">
        <v>746.62101</v>
      </c>
      <c r="F52" s="51">
        <f>ROUND(D52*E52*1.2,2)</f>
        <v>2499.34</v>
      </c>
      <c r="G52" s="51"/>
      <c r="H52" s="42"/>
      <c r="I52" s="42"/>
      <c r="J52" s="42"/>
      <c r="K52" s="42"/>
    </row>
    <row r="53" spans="1:11" s="5" customFormat="1" ht="15">
      <c r="A53" s="35"/>
      <c r="B53" s="35" t="s">
        <v>9</v>
      </c>
      <c r="C53" s="35"/>
      <c r="D53" s="6"/>
      <c r="E53" s="14"/>
      <c r="F53" s="51"/>
      <c r="G53" s="51"/>
      <c r="H53" s="42"/>
      <c r="I53" s="42"/>
      <c r="J53" s="42"/>
      <c r="K53" s="42"/>
    </row>
    <row r="54" spans="1:11" s="5" customFormat="1" ht="15">
      <c r="A54" s="35"/>
      <c r="B54" s="35" t="s">
        <v>7</v>
      </c>
      <c r="C54" s="35"/>
      <c r="D54" s="26">
        <f>313827.084098-D48-D51-D56</f>
        <v>288668.4082</v>
      </c>
      <c r="E54" s="14">
        <v>2.74296</v>
      </c>
      <c r="F54" s="51">
        <f>ROUND(D54*E54*1.2,2)+0.04</f>
        <v>950167.12</v>
      </c>
      <c r="G54" s="51"/>
      <c r="H54" s="42"/>
      <c r="I54" s="42"/>
      <c r="J54" s="42"/>
      <c r="K54" s="42"/>
    </row>
    <row r="55" spans="1:11" s="5" customFormat="1" ht="15">
      <c r="A55" s="35"/>
      <c r="B55" s="61" t="s">
        <v>10</v>
      </c>
      <c r="C55" s="62"/>
      <c r="D55" s="9"/>
      <c r="E55" s="14"/>
      <c r="F55" s="51"/>
      <c r="G55" s="51"/>
      <c r="H55" s="42"/>
      <c r="I55" s="42"/>
      <c r="J55" s="42"/>
      <c r="K55" s="42"/>
    </row>
    <row r="56" spans="1:11" s="5" customFormat="1" ht="15">
      <c r="A56" s="35"/>
      <c r="B56" s="61" t="s">
        <v>7</v>
      </c>
      <c r="C56" s="62"/>
      <c r="D56" s="25">
        <v>17427.084098</v>
      </c>
      <c r="E56" s="14">
        <v>2.81698</v>
      </c>
      <c r="F56" s="51">
        <f>ROUND(D56*E56*1.2,2)</f>
        <v>58910.1</v>
      </c>
      <c r="G56" s="51"/>
      <c r="H56" s="42"/>
      <c r="I56" s="42"/>
      <c r="J56" s="42"/>
      <c r="K56" s="42"/>
    </row>
    <row r="57" spans="1:11" s="5" customFormat="1" ht="15">
      <c r="A57" s="35"/>
      <c r="B57" s="44" t="s">
        <v>46</v>
      </c>
      <c r="C57" s="44"/>
      <c r="D57" s="27">
        <f>SUM(D48+D51+D54+D56)+18595.2736</f>
        <v>332422.35769800004</v>
      </c>
      <c r="E57" s="10"/>
      <c r="F57" s="45">
        <f>SUM(F47:G56)+61207.3</f>
        <v>1094764.19</v>
      </c>
      <c r="G57" s="45"/>
      <c r="H57" s="42"/>
      <c r="I57" s="42"/>
      <c r="J57" s="42"/>
      <c r="K57" s="42"/>
    </row>
    <row r="58" spans="1:11" s="5" customFormat="1" ht="15">
      <c r="A58" s="52" t="s">
        <v>47</v>
      </c>
      <c r="B58" s="35" t="s">
        <v>6</v>
      </c>
      <c r="C58" s="35"/>
      <c r="D58" s="6"/>
      <c r="E58" s="6"/>
      <c r="F58" s="42"/>
      <c r="G58" s="42"/>
      <c r="H58" s="55" t="s">
        <v>48</v>
      </c>
      <c r="I58" s="56"/>
      <c r="J58" s="43">
        <v>0.0291</v>
      </c>
      <c r="K58" s="42" t="s">
        <v>13</v>
      </c>
    </row>
    <row r="59" spans="1:11" s="5" customFormat="1" ht="15">
      <c r="A59" s="53"/>
      <c r="B59" s="35" t="s">
        <v>7</v>
      </c>
      <c r="C59" s="35"/>
      <c r="D59" s="25">
        <v>3507.5002</v>
      </c>
      <c r="E59" s="14">
        <v>1.62206</v>
      </c>
      <c r="F59" s="51">
        <f>ROUNDUP(D59*E59*1.2,2)</f>
        <v>6827.26</v>
      </c>
      <c r="G59" s="51"/>
      <c r="H59" s="57"/>
      <c r="I59" s="58"/>
      <c r="J59" s="42"/>
      <c r="K59" s="42"/>
    </row>
    <row r="60" spans="1:11" s="5" customFormat="1" ht="15">
      <c r="A60" s="53"/>
      <c r="B60" s="35" t="s">
        <v>8</v>
      </c>
      <c r="C60" s="35"/>
      <c r="D60" s="6">
        <v>5.755447</v>
      </c>
      <c r="E60" s="14">
        <v>727.62509</v>
      </c>
      <c r="F60" s="51">
        <f>ROUND(D60*E60*1.2,2)</f>
        <v>5025.37</v>
      </c>
      <c r="G60" s="51"/>
      <c r="H60" s="57"/>
      <c r="I60" s="58"/>
      <c r="J60" s="42"/>
      <c r="K60" s="42"/>
    </row>
    <row r="61" spans="1:11" s="5" customFormat="1" ht="15">
      <c r="A61" s="53"/>
      <c r="B61" s="35" t="s">
        <v>9</v>
      </c>
      <c r="C61" s="35"/>
      <c r="D61" s="6"/>
      <c r="E61" s="14"/>
      <c r="F61" s="51"/>
      <c r="G61" s="51"/>
      <c r="H61" s="57"/>
      <c r="I61" s="58"/>
      <c r="J61" s="42"/>
      <c r="K61" s="42"/>
    </row>
    <row r="62" spans="1:11" s="5" customFormat="1" ht="15">
      <c r="A62" s="54"/>
      <c r="B62" s="35" t="s">
        <v>7</v>
      </c>
      <c r="C62" s="35"/>
      <c r="D62" s="26">
        <v>191601.226354</v>
      </c>
      <c r="E62" s="14">
        <v>2.71995</v>
      </c>
      <c r="F62" s="51">
        <f>ROUNDDOWN(D62*E62*1.2,2)-0.02</f>
        <v>625374.88</v>
      </c>
      <c r="G62" s="51"/>
      <c r="H62" s="57"/>
      <c r="I62" s="58"/>
      <c r="J62" s="42"/>
      <c r="K62" s="42"/>
    </row>
    <row r="63" spans="1:11" s="5" customFormat="1" ht="15">
      <c r="A63" s="6"/>
      <c r="B63" s="44" t="s">
        <v>49</v>
      </c>
      <c r="C63" s="44"/>
      <c r="D63" s="27">
        <f>SUM(D59+D62)-3078.0222</f>
        <v>192030.70435400002</v>
      </c>
      <c r="E63" s="10"/>
      <c r="F63" s="45">
        <f>SUM(F58:G62)-10046.48</f>
        <v>627181.03</v>
      </c>
      <c r="G63" s="45"/>
      <c r="H63" s="59"/>
      <c r="I63" s="60"/>
      <c r="J63" s="42"/>
      <c r="K63" s="42"/>
    </row>
    <row r="64" spans="1:11" s="5" customFormat="1" ht="15">
      <c r="A64" s="52" t="s">
        <v>50</v>
      </c>
      <c r="B64" s="35" t="s">
        <v>6</v>
      </c>
      <c r="C64" s="35"/>
      <c r="D64" s="6"/>
      <c r="E64" s="6"/>
      <c r="F64" s="42"/>
      <c r="G64" s="42"/>
      <c r="H64" s="42" t="s">
        <v>51</v>
      </c>
      <c r="I64" s="42"/>
      <c r="J64" s="43">
        <v>0.0291</v>
      </c>
      <c r="K64" s="42" t="s">
        <v>13</v>
      </c>
    </row>
    <row r="65" spans="1:11" s="5" customFormat="1" ht="15">
      <c r="A65" s="53"/>
      <c r="B65" s="35" t="s">
        <v>7</v>
      </c>
      <c r="C65" s="35"/>
      <c r="D65" s="25">
        <v>3312.976</v>
      </c>
      <c r="E65" s="14">
        <v>1.57001</v>
      </c>
      <c r="F65" s="51">
        <f>ROUND(D65*E65*1.2,2)</f>
        <v>6241.69</v>
      </c>
      <c r="G65" s="51"/>
      <c r="H65" s="42"/>
      <c r="I65" s="42"/>
      <c r="J65" s="42"/>
      <c r="K65" s="42"/>
    </row>
    <row r="66" spans="1:11" s="5" customFormat="1" ht="15">
      <c r="A66" s="53"/>
      <c r="B66" s="35" t="s">
        <v>8</v>
      </c>
      <c r="C66" s="35"/>
      <c r="D66" s="6">
        <v>5.445277</v>
      </c>
      <c r="E66" s="14">
        <v>765.6633</v>
      </c>
      <c r="F66" s="51">
        <f>ROUND(D66*E66*1.2,2)</f>
        <v>5003.1</v>
      </c>
      <c r="G66" s="51"/>
      <c r="H66" s="42"/>
      <c r="I66" s="42"/>
      <c r="J66" s="42"/>
      <c r="K66" s="42"/>
    </row>
    <row r="67" spans="1:11" s="5" customFormat="1" ht="15">
      <c r="A67" s="53"/>
      <c r="B67" s="35" t="s">
        <v>6</v>
      </c>
      <c r="C67" s="35"/>
      <c r="D67" s="6"/>
      <c r="E67" s="14"/>
      <c r="F67" s="51"/>
      <c r="G67" s="51"/>
      <c r="H67" s="42"/>
      <c r="I67" s="42"/>
      <c r="J67" s="42"/>
      <c r="K67" s="42"/>
    </row>
    <row r="68" spans="1:11" s="5" customFormat="1" ht="15">
      <c r="A68" s="53"/>
      <c r="B68" s="35" t="s">
        <v>7</v>
      </c>
      <c r="C68" s="35"/>
      <c r="D68" s="25">
        <v>4659.6133</v>
      </c>
      <c r="E68" s="14">
        <v>1.56993</v>
      </c>
      <c r="F68" s="51">
        <f>ROUND(D68*E68*1.2,2)</f>
        <v>8778.32</v>
      </c>
      <c r="G68" s="51"/>
      <c r="H68" s="42"/>
      <c r="I68" s="42"/>
      <c r="J68" s="42"/>
      <c r="K68" s="42"/>
    </row>
    <row r="69" spans="1:11" s="5" customFormat="1" ht="15">
      <c r="A69" s="53"/>
      <c r="B69" s="35" t="s">
        <v>8</v>
      </c>
      <c r="C69" s="35"/>
      <c r="D69" s="6">
        <v>7.018823</v>
      </c>
      <c r="E69" s="14">
        <v>765.6633</v>
      </c>
      <c r="F69" s="51">
        <f>ROUND(D69*E69*1.2,2)</f>
        <v>6448.87</v>
      </c>
      <c r="G69" s="51"/>
      <c r="H69" s="42"/>
      <c r="I69" s="42"/>
      <c r="J69" s="42"/>
      <c r="K69" s="42"/>
    </row>
    <row r="70" spans="1:11" s="5" customFormat="1" ht="15">
      <c r="A70" s="53"/>
      <c r="B70" s="35" t="s">
        <v>9</v>
      </c>
      <c r="C70" s="35"/>
      <c r="D70" s="6"/>
      <c r="E70" s="14"/>
      <c r="F70" s="51"/>
      <c r="G70" s="51"/>
      <c r="H70" s="42"/>
      <c r="I70" s="42"/>
      <c r="J70" s="42"/>
      <c r="K70" s="42"/>
    </row>
    <row r="71" spans="1:11" s="5" customFormat="1" ht="15">
      <c r="A71" s="54"/>
      <c r="B71" s="35" t="s">
        <v>7</v>
      </c>
      <c r="C71" s="35"/>
      <c r="D71" s="26">
        <v>182815.371464</v>
      </c>
      <c r="E71" s="14">
        <v>2.80302</v>
      </c>
      <c r="F71" s="51">
        <f>ROUNDUP(D71*E71*1.2,2)+0.02</f>
        <v>614922.2000000001</v>
      </c>
      <c r="G71" s="51"/>
      <c r="H71" s="42"/>
      <c r="I71" s="42"/>
      <c r="J71" s="42"/>
      <c r="K71" s="42"/>
    </row>
    <row r="72" spans="1:11" s="5" customFormat="1" ht="15">
      <c r="A72" s="6"/>
      <c r="B72" s="44" t="s">
        <v>52</v>
      </c>
      <c r="C72" s="44"/>
      <c r="D72" s="27">
        <f>SUM(D65+D68+D71)-3091.1582</f>
        <v>187696.80256399998</v>
      </c>
      <c r="E72" s="10"/>
      <c r="F72" s="45">
        <f>SUM(F64:G71)-10397.5</f>
        <v>630996.68</v>
      </c>
      <c r="G72" s="45"/>
      <c r="H72" s="42"/>
      <c r="I72" s="42"/>
      <c r="J72" s="42"/>
      <c r="K72" s="42"/>
    </row>
    <row r="73" spans="1:11" s="5" customFormat="1" ht="15">
      <c r="A73" s="52" t="s">
        <v>53</v>
      </c>
      <c r="B73" s="35" t="s">
        <v>6</v>
      </c>
      <c r="C73" s="35"/>
      <c r="D73" s="6"/>
      <c r="E73" s="6"/>
      <c r="F73" s="42"/>
      <c r="G73" s="42"/>
      <c r="H73" s="42" t="s">
        <v>54</v>
      </c>
      <c r="I73" s="42"/>
      <c r="J73" s="43">
        <v>0.0291</v>
      </c>
      <c r="K73" s="42" t="s">
        <v>13</v>
      </c>
    </row>
    <row r="74" spans="1:11" s="5" customFormat="1" ht="15">
      <c r="A74" s="53"/>
      <c r="B74" s="35" t="s">
        <v>7</v>
      </c>
      <c r="C74" s="35"/>
      <c r="D74" s="25">
        <v>3373.15068</v>
      </c>
      <c r="E74" s="14">
        <v>1.55199</v>
      </c>
      <c r="F74" s="51">
        <f>ROUND(D74*E74*1.2,2)</f>
        <v>6282.12</v>
      </c>
      <c r="G74" s="51"/>
      <c r="H74" s="42"/>
      <c r="I74" s="42"/>
      <c r="J74" s="42"/>
      <c r="K74" s="42"/>
    </row>
    <row r="75" spans="1:11" s="5" customFormat="1" ht="15">
      <c r="A75" s="53"/>
      <c r="B75" s="35" t="s">
        <v>8</v>
      </c>
      <c r="C75" s="35"/>
      <c r="D75" s="6">
        <v>6.217934</v>
      </c>
      <c r="E75" s="14">
        <v>786.17566</v>
      </c>
      <c r="F75" s="51">
        <f>ROUND(D75*E75*1.2,2)</f>
        <v>5866.07</v>
      </c>
      <c r="G75" s="51"/>
      <c r="H75" s="42"/>
      <c r="I75" s="42"/>
      <c r="J75" s="42"/>
      <c r="K75" s="42"/>
    </row>
    <row r="76" spans="1:11" s="5" customFormat="1" ht="15">
      <c r="A76" s="53"/>
      <c r="B76" s="35" t="s">
        <v>6</v>
      </c>
      <c r="C76" s="35"/>
      <c r="D76" s="6"/>
      <c r="E76" s="14"/>
      <c r="F76" s="51"/>
      <c r="G76" s="51"/>
      <c r="H76" s="42"/>
      <c r="I76" s="42"/>
      <c r="J76" s="42"/>
      <c r="K76" s="42"/>
    </row>
    <row r="77" spans="1:11" s="5" customFormat="1" ht="15">
      <c r="A77" s="53"/>
      <c r="B77" s="35" t="s">
        <v>7</v>
      </c>
      <c r="C77" s="35"/>
      <c r="D77" s="25">
        <v>18176.5522</v>
      </c>
      <c r="E77" s="14">
        <v>1.51505</v>
      </c>
      <c r="F77" s="51">
        <f>ROUNDUP(D77*E77*1.2,2)</f>
        <v>33046.07</v>
      </c>
      <c r="G77" s="51"/>
      <c r="H77" s="42"/>
      <c r="I77" s="42"/>
      <c r="J77" s="42"/>
      <c r="K77" s="42"/>
    </row>
    <row r="78" spans="1:11" s="5" customFormat="1" ht="15">
      <c r="A78" s="53"/>
      <c r="B78" s="35" t="s">
        <v>8</v>
      </c>
      <c r="C78" s="35"/>
      <c r="D78" s="6">
        <v>24.69856</v>
      </c>
      <c r="E78" s="14">
        <v>786.17566</v>
      </c>
      <c r="F78" s="51">
        <f>ROUND(D78*E78*1.2,2)</f>
        <v>23300.89</v>
      </c>
      <c r="G78" s="51"/>
      <c r="H78" s="42"/>
      <c r="I78" s="42"/>
      <c r="J78" s="42"/>
      <c r="K78" s="42"/>
    </row>
    <row r="79" spans="1:11" s="5" customFormat="1" ht="15">
      <c r="A79" s="53"/>
      <c r="B79" s="35" t="s">
        <v>9</v>
      </c>
      <c r="C79" s="35"/>
      <c r="D79" s="6"/>
      <c r="E79" s="14"/>
      <c r="F79" s="51"/>
      <c r="G79" s="51"/>
      <c r="H79" s="42"/>
      <c r="I79" s="42"/>
      <c r="J79" s="42"/>
      <c r="K79" s="42"/>
    </row>
    <row r="80" spans="1:11" s="5" customFormat="1" ht="15">
      <c r="A80" s="54"/>
      <c r="B80" s="35" t="s">
        <v>7</v>
      </c>
      <c r="C80" s="35"/>
      <c r="D80" s="26">
        <v>198749.833576</v>
      </c>
      <c r="E80" s="14">
        <v>2.67627</v>
      </c>
      <c r="F80" s="51">
        <f>ROUND(D80*E80*1.2,2)-0.02</f>
        <v>638289.84</v>
      </c>
      <c r="G80" s="51"/>
      <c r="H80" s="42"/>
      <c r="I80" s="42"/>
      <c r="J80" s="42"/>
      <c r="K80" s="42"/>
    </row>
    <row r="81" spans="1:11" s="5" customFormat="1" ht="15">
      <c r="A81" s="6"/>
      <c r="B81" s="44" t="s">
        <v>55</v>
      </c>
      <c r="C81" s="44"/>
      <c r="D81" s="27">
        <f>SUM(D74+D77+D80)</f>
        <v>220299.536456</v>
      </c>
      <c r="E81" s="10"/>
      <c r="F81" s="45">
        <f>SUM(F73:G80)</f>
        <v>706784.99</v>
      </c>
      <c r="G81" s="45"/>
      <c r="H81" s="42"/>
      <c r="I81" s="42"/>
      <c r="J81" s="42"/>
      <c r="K81" s="42"/>
    </row>
    <row r="82" spans="1:11" s="5" customFormat="1" ht="15">
      <c r="A82" s="52" t="s">
        <v>56</v>
      </c>
      <c r="B82" s="35" t="s">
        <v>6</v>
      </c>
      <c r="C82" s="35"/>
      <c r="D82" s="6"/>
      <c r="E82" s="6"/>
      <c r="F82" s="42"/>
      <c r="G82" s="42"/>
      <c r="H82" s="42" t="s">
        <v>57</v>
      </c>
      <c r="I82" s="42"/>
      <c r="J82" s="43">
        <v>0.0291</v>
      </c>
      <c r="K82" s="42" t="s">
        <v>13</v>
      </c>
    </row>
    <row r="83" spans="1:11" s="5" customFormat="1" ht="15">
      <c r="A83" s="53"/>
      <c r="B83" s="35" t="s">
        <v>7</v>
      </c>
      <c r="C83" s="35"/>
      <c r="D83" s="25">
        <v>3230.3917</v>
      </c>
      <c r="E83" s="14">
        <v>1.53559</v>
      </c>
      <c r="F83" s="51">
        <f>ROUND(D83*E83*1.2,2)</f>
        <v>5952.67</v>
      </c>
      <c r="G83" s="51"/>
      <c r="H83" s="42"/>
      <c r="I83" s="42"/>
      <c r="J83" s="42"/>
      <c r="K83" s="42"/>
    </row>
    <row r="84" spans="1:11" s="5" customFormat="1" ht="15">
      <c r="A84" s="53"/>
      <c r="B84" s="35" t="s">
        <v>8</v>
      </c>
      <c r="C84" s="35"/>
      <c r="D84" s="6">
        <v>5.257879</v>
      </c>
      <c r="E84" s="14">
        <v>771.46261</v>
      </c>
      <c r="F84" s="51">
        <f>ROUND(D84*E84*1.2,2)</f>
        <v>4867.51</v>
      </c>
      <c r="G84" s="51"/>
      <c r="H84" s="42"/>
      <c r="I84" s="42"/>
      <c r="J84" s="42"/>
      <c r="K84" s="42"/>
    </row>
    <row r="85" spans="1:11" s="5" customFormat="1" ht="15">
      <c r="A85" s="53"/>
      <c r="B85" s="35" t="s">
        <v>6</v>
      </c>
      <c r="C85" s="35"/>
      <c r="D85" s="6"/>
      <c r="E85" s="14"/>
      <c r="F85" s="51"/>
      <c r="G85" s="51"/>
      <c r="H85" s="42"/>
      <c r="I85" s="42"/>
      <c r="J85" s="42"/>
      <c r="K85" s="42"/>
    </row>
    <row r="86" spans="1:11" s="5" customFormat="1" ht="15">
      <c r="A86" s="53"/>
      <c r="B86" s="35" t="s">
        <v>7</v>
      </c>
      <c r="C86" s="35"/>
      <c r="D86" s="25">
        <v>31658.438</v>
      </c>
      <c r="E86" s="14">
        <v>1.52755</v>
      </c>
      <c r="F86" s="51">
        <f>ROUNDUP(D86*E86*1.2,2)</f>
        <v>58031.82</v>
      </c>
      <c r="G86" s="51"/>
      <c r="H86" s="42"/>
      <c r="I86" s="42"/>
      <c r="J86" s="42"/>
      <c r="K86" s="42"/>
    </row>
    <row r="87" spans="1:11" s="5" customFormat="1" ht="15">
      <c r="A87" s="53"/>
      <c r="B87" s="35" t="s">
        <v>8</v>
      </c>
      <c r="C87" s="35"/>
      <c r="D87" s="6">
        <v>44.490396</v>
      </c>
      <c r="E87" s="14">
        <v>771.46261</v>
      </c>
      <c r="F87" s="51">
        <f>ROUNDUP(D87*E87*1.2,2)</f>
        <v>41187.22</v>
      </c>
      <c r="G87" s="51"/>
      <c r="H87" s="42"/>
      <c r="I87" s="42"/>
      <c r="J87" s="42"/>
      <c r="K87" s="42"/>
    </row>
    <row r="88" spans="1:11" s="5" customFormat="1" ht="15">
      <c r="A88" s="53"/>
      <c r="B88" s="35" t="s">
        <v>9</v>
      </c>
      <c r="C88" s="35"/>
      <c r="D88" s="6"/>
      <c r="E88" s="14"/>
      <c r="F88" s="51"/>
      <c r="G88" s="51"/>
      <c r="H88" s="42"/>
      <c r="I88" s="42"/>
      <c r="J88" s="42"/>
      <c r="K88" s="42"/>
    </row>
    <row r="89" spans="1:11" s="5" customFormat="1" ht="15">
      <c r="A89" s="54"/>
      <c r="B89" s="35" t="s">
        <v>7</v>
      </c>
      <c r="C89" s="35"/>
      <c r="D89" s="26">
        <v>261787.746693</v>
      </c>
      <c r="E89" s="14">
        <v>2.72986</v>
      </c>
      <c r="F89" s="51">
        <f>ROUNDDOWN(D89*E89*1.2,2)-0.04</f>
        <v>857572.63</v>
      </c>
      <c r="G89" s="51"/>
      <c r="H89" s="42"/>
      <c r="I89" s="42"/>
      <c r="J89" s="42"/>
      <c r="K89" s="42"/>
    </row>
    <row r="90" spans="1:11" s="5" customFormat="1" ht="15">
      <c r="A90" s="6"/>
      <c r="B90" s="44" t="s">
        <v>58</v>
      </c>
      <c r="C90" s="44"/>
      <c r="D90" s="27">
        <f>SUM(D83+D86+D89)</f>
        <v>296676.57639299997</v>
      </c>
      <c r="E90" s="10"/>
      <c r="F90" s="45">
        <f>SUM(F82:G89)</f>
        <v>967611.85</v>
      </c>
      <c r="G90" s="45"/>
      <c r="H90" s="42"/>
      <c r="I90" s="42"/>
      <c r="J90" s="42"/>
      <c r="K90" s="42"/>
    </row>
    <row r="91" spans="1:11" s="5" customFormat="1" ht="15">
      <c r="A91" s="52" t="s">
        <v>59</v>
      </c>
      <c r="B91" s="35" t="s">
        <v>6</v>
      </c>
      <c r="C91" s="35"/>
      <c r="D91" s="6"/>
      <c r="E91" s="6"/>
      <c r="F91" s="42"/>
      <c r="G91" s="42"/>
      <c r="H91" s="42" t="s">
        <v>60</v>
      </c>
      <c r="I91" s="42"/>
      <c r="J91" s="43">
        <v>0.0291</v>
      </c>
      <c r="K91" s="42" t="s">
        <v>13</v>
      </c>
    </row>
    <row r="92" spans="1:11" s="5" customFormat="1" ht="15">
      <c r="A92" s="53"/>
      <c r="B92" s="35" t="s">
        <v>7</v>
      </c>
      <c r="C92" s="35"/>
      <c r="D92" s="25">
        <v>3313.87816</v>
      </c>
      <c r="E92" s="14">
        <v>1.74485</v>
      </c>
      <c r="F92" s="51">
        <f>ROUND(D92*E92*1.2,2)</f>
        <v>6938.66</v>
      </c>
      <c r="G92" s="51"/>
      <c r="H92" s="42"/>
      <c r="I92" s="42"/>
      <c r="J92" s="42"/>
      <c r="K92" s="42"/>
    </row>
    <row r="93" spans="1:11" s="5" customFormat="1" ht="15">
      <c r="A93" s="53"/>
      <c r="B93" s="35" t="s">
        <v>8</v>
      </c>
      <c r="C93" s="35"/>
      <c r="D93" s="6">
        <v>6.15785</v>
      </c>
      <c r="E93" s="14">
        <v>696.53072</v>
      </c>
      <c r="F93" s="51">
        <f>ROUND(D93*E93*1.2,2)</f>
        <v>5146.96</v>
      </c>
      <c r="G93" s="51"/>
      <c r="H93" s="42"/>
      <c r="I93" s="42"/>
      <c r="J93" s="42"/>
      <c r="K93" s="42"/>
    </row>
    <row r="94" spans="1:11" s="5" customFormat="1" ht="15">
      <c r="A94" s="53"/>
      <c r="B94" s="35" t="s">
        <v>6</v>
      </c>
      <c r="C94" s="35"/>
      <c r="D94" s="6"/>
      <c r="E94" s="14"/>
      <c r="F94" s="51"/>
      <c r="G94" s="51"/>
      <c r="H94" s="42"/>
      <c r="I94" s="42"/>
      <c r="J94" s="42"/>
      <c r="K94" s="42"/>
    </row>
    <row r="95" spans="1:11" s="5" customFormat="1" ht="15">
      <c r="A95" s="53"/>
      <c r="B95" s="35" t="s">
        <v>7</v>
      </c>
      <c r="C95" s="35"/>
      <c r="D95" s="25">
        <v>22110.7981</v>
      </c>
      <c r="E95" s="14">
        <v>1.71097</v>
      </c>
      <c r="F95" s="51">
        <f>ROUNDUP(D95*E95*1.2,2)</f>
        <v>45397.1</v>
      </c>
      <c r="G95" s="51"/>
      <c r="H95" s="42"/>
      <c r="I95" s="42"/>
      <c r="J95" s="42"/>
      <c r="K95" s="42"/>
    </row>
    <row r="96" spans="1:11" s="5" customFormat="1" ht="15">
      <c r="A96" s="53"/>
      <c r="B96" s="35" t="s">
        <v>8</v>
      </c>
      <c r="C96" s="35"/>
      <c r="D96" s="6">
        <v>30.051869</v>
      </c>
      <c r="E96" s="14">
        <v>696.53072</v>
      </c>
      <c r="F96" s="51">
        <f>ROUNDUP(D96*E96*1.2,2)</f>
        <v>25118.46</v>
      </c>
      <c r="G96" s="51"/>
      <c r="H96" s="42"/>
      <c r="I96" s="42"/>
      <c r="J96" s="42"/>
      <c r="K96" s="42"/>
    </row>
    <row r="97" spans="1:11" s="5" customFormat="1" ht="15">
      <c r="A97" s="53"/>
      <c r="B97" s="35" t="s">
        <v>9</v>
      </c>
      <c r="C97" s="35"/>
      <c r="D97" s="6"/>
      <c r="E97" s="14"/>
      <c r="F97" s="51"/>
      <c r="G97" s="51"/>
      <c r="H97" s="42"/>
      <c r="I97" s="42"/>
      <c r="J97" s="42"/>
      <c r="K97" s="42"/>
    </row>
    <row r="98" spans="1:11" s="5" customFormat="1" ht="15">
      <c r="A98" s="53"/>
      <c r="B98" s="35" t="s">
        <v>7</v>
      </c>
      <c r="C98" s="35"/>
      <c r="D98" s="29">
        <v>347085.87168499996</v>
      </c>
      <c r="E98" s="14">
        <v>2.7434</v>
      </c>
      <c r="F98" s="51">
        <f>ROUNDDOWN(D98*E98*1.2,2)-0.04</f>
        <v>1142634.41</v>
      </c>
      <c r="G98" s="51"/>
      <c r="H98" s="42"/>
      <c r="I98" s="42"/>
      <c r="J98" s="42"/>
      <c r="K98" s="42"/>
    </row>
    <row r="99" spans="1:11" s="5" customFormat="1" ht="15">
      <c r="A99" s="53"/>
      <c r="B99" s="35" t="s">
        <v>61</v>
      </c>
      <c r="C99" s="35"/>
      <c r="D99" s="25"/>
      <c r="E99" s="14"/>
      <c r="F99" s="51"/>
      <c r="G99" s="51"/>
      <c r="H99" s="42"/>
      <c r="I99" s="42"/>
      <c r="J99" s="42"/>
      <c r="K99" s="42"/>
    </row>
    <row r="100" spans="1:11" s="5" customFormat="1" ht="15">
      <c r="A100" s="54"/>
      <c r="B100" s="35" t="s">
        <v>7</v>
      </c>
      <c r="C100" s="35"/>
      <c r="D100" s="25">
        <v>80099.865317</v>
      </c>
      <c r="E100" s="14">
        <v>2.67998</v>
      </c>
      <c r="F100" s="51">
        <f>ROUNDUP(D100*E100*1.2,2)</f>
        <v>257599.25</v>
      </c>
      <c r="G100" s="51"/>
      <c r="H100" s="42"/>
      <c r="I100" s="42"/>
      <c r="J100" s="42"/>
      <c r="K100" s="42"/>
    </row>
    <row r="101" spans="1:11" s="5" customFormat="1" ht="15">
      <c r="A101" s="6"/>
      <c r="B101" s="44" t="s">
        <v>62</v>
      </c>
      <c r="C101" s="44"/>
      <c r="D101" s="27">
        <f>SUM(D92+D95+D98+D100)</f>
        <v>452610.41326199996</v>
      </c>
      <c r="E101" s="10"/>
      <c r="F101" s="45">
        <f>SUM(F91:G100)</f>
        <v>1482834.8399999999</v>
      </c>
      <c r="G101" s="45"/>
      <c r="H101" s="42"/>
      <c r="I101" s="42"/>
      <c r="J101" s="42"/>
      <c r="K101" s="42"/>
    </row>
    <row r="102" spans="1:11" s="30" customFormat="1" ht="14.25">
      <c r="A102" s="15" t="s">
        <v>63</v>
      </c>
      <c r="B102" s="46"/>
      <c r="C102" s="47"/>
      <c r="D102" s="31">
        <f>D13+D19+D28+D34+D40+D46+D57+D63+D72+D81+D90+D101</f>
        <v>3086060.078859</v>
      </c>
      <c r="E102" s="15"/>
      <c r="F102" s="48">
        <f>F13+F19+F28+F34+F40+F46+F57+F63+F72+F81+F90+F101</f>
        <v>10057907.57</v>
      </c>
      <c r="G102" s="49"/>
      <c r="H102" s="46"/>
      <c r="I102" s="47"/>
      <c r="J102" s="10"/>
      <c r="K102" s="10"/>
    </row>
    <row r="104" spans="1:11" s="8" customFormat="1" ht="65.25" customHeight="1">
      <c r="A104" s="33"/>
      <c r="B104" s="33"/>
      <c r="C104" s="24" t="s">
        <v>15</v>
      </c>
      <c r="D104" s="24" t="s">
        <v>16</v>
      </c>
      <c r="E104" s="34" t="s">
        <v>3</v>
      </c>
      <c r="F104" s="34"/>
      <c r="G104" s="34"/>
      <c r="H104" s="34"/>
      <c r="I104" s="34"/>
      <c r="J104" s="24" t="s">
        <v>17</v>
      </c>
      <c r="K104" s="17"/>
    </row>
    <row r="105" spans="1:11" s="8" customFormat="1" ht="60.75" customHeight="1">
      <c r="A105" s="35" t="s">
        <v>65</v>
      </c>
      <c r="B105" s="35"/>
      <c r="C105" s="4">
        <v>3650</v>
      </c>
      <c r="D105" s="2">
        <v>0.73</v>
      </c>
      <c r="E105" s="36" t="s">
        <v>18</v>
      </c>
      <c r="F105" s="37"/>
      <c r="G105" s="37"/>
      <c r="H105" s="37"/>
      <c r="I105" s="38"/>
      <c r="J105" s="23" t="s">
        <v>66</v>
      </c>
      <c r="K105" s="17"/>
    </row>
    <row r="106" spans="9:11" s="8" customFormat="1" ht="15" customHeight="1">
      <c r="I106" s="11"/>
      <c r="J106" s="18"/>
      <c r="K106" s="17"/>
    </row>
    <row r="107" spans="9:11" s="8" customFormat="1" ht="15" customHeight="1">
      <c r="I107" s="11"/>
      <c r="J107" s="18"/>
      <c r="K107" s="17"/>
    </row>
    <row r="108" spans="1:11" s="5" customFormat="1" ht="32.25" customHeight="1">
      <c r="A108" s="39" t="s">
        <v>19</v>
      </c>
      <c r="B108" s="23" t="s">
        <v>20</v>
      </c>
      <c r="C108" s="23" t="s">
        <v>21</v>
      </c>
      <c r="D108" s="36" t="s">
        <v>21</v>
      </c>
      <c r="E108" s="37"/>
      <c r="F108" s="37"/>
      <c r="G108" s="37"/>
      <c r="H108" s="38"/>
      <c r="I108" s="23" t="s">
        <v>21</v>
      </c>
      <c r="J108" s="23" t="s">
        <v>21</v>
      </c>
      <c r="K108" s="12"/>
    </row>
    <row r="109" spans="1:11" s="5" customFormat="1" ht="32.25" customHeight="1">
      <c r="A109" s="40"/>
      <c r="B109" s="23" t="s">
        <v>22</v>
      </c>
      <c r="C109" s="23" t="s">
        <v>21</v>
      </c>
      <c r="D109" s="36" t="s">
        <v>21</v>
      </c>
      <c r="E109" s="37"/>
      <c r="F109" s="37"/>
      <c r="G109" s="37"/>
      <c r="H109" s="38"/>
      <c r="I109" s="23" t="s">
        <v>21</v>
      </c>
      <c r="J109" s="23" t="s">
        <v>21</v>
      </c>
      <c r="K109" s="12"/>
    </row>
    <row r="110" spans="1:11" s="5" customFormat="1" ht="32.25" customHeight="1">
      <c r="A110" s="40"/>
      <c r="B110" s="23" t="s">
        <v>23</v>
      </c>
      <c r="C110" s="23" t="s">
        <v>21</v>
      </c>
      <c r="D110" s="36" t="s">
        <v>21</v>
      </c>
      <c r="E110" s="37"/>
      <c r="F110" s="37"/>
      <c r="G110" s="37"/>
      <c r="H110" s="38"/>
      <c r="I110" s="23" t="s">
        <v>21</v>
      </c>
      <c r="J110" s="23" t="s">
        <v>21</v>
      </c>
      <c r="K110" s="12"/>
    </row>
    <row r="111" spans="1:11" s="5" customFormat="1" ht="32.25" customHeight="1">
      <c r="A111" s="41"/>
      <c r="B111" s="23" t="s">
        <v>24</v>
      </c>
      <c r="C111" s="23" t="s">
        <v>21</v>
      </c>
      <c r="D111" s="36" t="s">
        <v>21</v>
      </c>
      <c r="E111" s="37"/>
      <c r="F111" s="37"/>
      <c r="G111" s="37"/>
      <c r="H111" s="38"/>
      <c r="I111" s="23" t="s">
        <v>21</v>
      </c>
      <c r="J111" s="23" t="s">
        <v>21</v>
      </c>
      <c r="K111" s="12"/>
    </row>
    <row r="112" spans="9:11" s="18" customFormat="1" ht="15" customHeight="1">
      <c r="I112" s="5"/>
      <c r="K112" s="17"/>
    </row>
    <row r="113" spans="1:17" s="21" customFormat="1" ht="36.75" customHeight="1">
      <c r="A113" s="32" t="s">
        <v>25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19"/>
      <c r="L113" s="20"/>
      <c r="M113" s="20"/>
      <c r="N113" s="20"/>
      <c r="O113" s="20"/>
      <c r="P113" s="20"/>
      <c r="Q113" s="20"/>
    </row>
  </sheetData>
  <sheetProtection/>
  <mergeCells count="260">
    <mergeCell ref="A1:H1"/>
    <mergeCell ref="B4:C4"/>
    <mergeCell ref="F4:G4"/>
    <mergeCell ref="H4:I4"/>
    <mergeCell ref="A5:A12"/>
    <mergeCell ref="B5:C5"/>
    <mergeCell ref="F5:G5"/>
    <mergeCell ref="H5:I13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A14:A18"/>
    <mergeCell ref="B14:C14"/>
    <mergeCell ref="F14:G14"/>
    <mergeCell ref="H14:I19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H20:I28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A29:A33"/>
    <mergeCell ref="B29:C29"/>
    <mergeCell ref="F29:G29"/>
    <mergeCell ref="A20:A27"/>
    <mergeCell ref="B20:C20"/>
    <mergeCell ref="F20:G20"/>
    <mergeCell ref="H29:I34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A35:A39"/>
    <mergeCell ref="B35:C35"/>
    <mergeCell ref="F35:G35"/>
    <mergeCell ref="H35:I40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A41:A45"/>
    <mergeCell ref="B41:C41"/>
    <mergeCell ref="F41:G41"/>
    <mergeCell ref="H41:I46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A47:A57"/>
    <mergeCell ref="B47:C47"/>
    <mergeCell ref="F47:G47"/>
    <mergeCell ref="H47:I5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A58:A62"/>
    <mergeCell ref="B58:C58"/>
    <mergeCell ref="F58:G58"/>
    <mergeCell ref="H58:I63"/>
    <mergeCell ref="B59:C59"/>
    <mergeCell ref="F59:G59"/>
    <mergeCell ref="B60:C60"/>
    <mergeCell ref="F60:G60"/>
    <mergeCell ref="B61:C61"/>
    <mergeCell ref="F61:G61"/>
    <mergeCell ref="B62:C62"/>
    <mergeCell ref="F62:G62"/>
    <mergeCell ref="B63:C63"/>
    <mergeCell ref="F63:G63"/>
    <mergeCell ref="A64:A71"/>
    <mergeCell ref="B64:C64"/>
    <mergeCell ref="F64:G64"/>
    <mergeCell ref="H64:I72"/>
    <mergeCell ref="B65:C65"/>
    <mergeCell ref="F65:G65"/>
    <mergeCell ref="B66:C66"/>
    <mergeCell ref="F66:G66"/>
    <mergeCell ref="B67:C67"/>
    <mergeCell ref="F67:G67"/>
    <mergeCell ref="B68:C68"/>
    <mergeCell ref="F68:G68"/>
    <mergeCell ref="B69:C69"/>
    <mergeCell ref="F69:G69"/>
    <mergeCell ref="B70:C70"/>
    <mergeCell ref="F70:G70"/>
    <mergeCell ref="B71:C71"/>
    <mergeCell ref="F71:G71"/>
    <mergeCell ref="B72:C72"/>
    <mergeCell ref="F72:G72"/>
    <mergeCell ref="A73:A80"/>
    <mergeCell ref="B73:C73"/>
    <mergeCell ref="F73:G73"/>
    <mergeCell ref="F78:G78"/>
    <mergeCell ref="B79:C79"/>
    <mergeCell ref="F79:G79"/>
    <mergeCell ref="H73:I81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B80:C80"/>
    <mergeCell ref="F80:G80"/>
    <mergeCell ref="B81:C81"/>
    <mergeCell ref="F81:G81"/>
    <mergeCell ref="A82:A89"/>
    <mergeCell ref="B82:C82"/>
    <mergeCell ref="F82:G82"/>
    <mergeCell ref="F87:G87"/>
    <mergeCell ref="B88:C88"/>
    <mergeCell ref="F88:G88"/>
    <mergeCell ref="H82:I90"/>
    <mergeCell ref="B83:C83"/>
    <mergeCell ref="F83:G83"/>
    <mergeCell ref="B84:C84"/>
    <mergeCell ref="F84:G84"/>
    <mergeCell ref="B85:C85"/>
    <mergeCell ref="F85:G85"/>
    <mergeCell ref="B86:C86"/>
    <mergeCell ref="F86:G86"/>
    <mergeCell ref="B87:C87"/>
    <mergeCell ref="A91:A100"/>
    <mergeCell ref="B91:C91"/>
    <mergeCell ref="F91:G91"/>
    <mergeCell ref="F96:G96"/>
    <mergeCell ref="B97:C97"/>
    <mergeCell ref="F97:G97"/>
    <mergeCell ref="F95:G95"/>
    <mergeCell ref="B96:C96"/>
    <mergeCell ref="B89:C89"/>
    <mergeCell ref="F89:G89"/>
    <mergeCell ref="B90:C90"/>
    <mergeCell ref="F90:G90"/>
    <mergeCell ref="B100:C100"/>
    <mergeCell ref="F100:G100"/>
    <mergeCell ref="H91:I101"/>
    <mergeCell ref="B92:C92"/>
    <mergeCell ref="F92:G92"/>
    <mergeCell ref="B93:C93"/>
    <mergeCell ref="F93:G93"/>
    <mergeCell ref="B94:C94"/>
    <mergeCell ref="F94:G94"/>
    <mergeCell ref="B95:C95"/>
    <mergeCell ref="B101:C101"/>
    <mergeCell ref="F101:G101"/>
    <mergeCell ref="B102:C102"/>
    <mergeCell ref="F102:G102"/>
    <mergeCell ref="H102:I102"/>
    <mergeCell ref="A3:I3"/>
    <mergeCell ref="B98:C98"/>
    <mergeCell ref="F98:G98"/>
    <mergeCell ref="B99:C99"/>
    <mergeCell ref="F99:G99"/>
    <mergeCell ref="J5:J13"/>
    <mergeCell ref="J14:J19"/>
    <mergeCell ref="J20:J28"/>
    <mergeCell ref="J29:J34"/>
    <mergeCell ref="J35:J40"/>
    <mergeCell ref="J41:J46"/>
    <mergeCell ref="J47:J57"/>
    <mergeCell ref="J58:J63"/>
    <mergeCell ref="J64:J72"/>
    <mergeCell ref="J73:J81"/>
    <mergeCell ref="J82:J90"/>
    <mergeCell ref="J91:J101"/>
    <mergeCell ref="K5:K13"/>
    <mergeCell ref="K14:K19"/>
    <mergeCell ref="K20:K28"/>
    <mergeCell ref="K29:K34"/>
    <mergeCell ref="K35:K40"/>
    <mergeCell ref="K41:K46"/>
    <mergeCell ref="K47:K57"/>
    <mergeCell ref="K58:K63"/>
    <mergeCell ref="K64:K72"/>
    <mergeCell ref="K73:K81"/>
    <mergeCell ref="K82:K90"/>
    <mergeCell ref="K91:K101"/>
    <mergeCell ref="A113:J113"/>
    <mergeCell ref="A104:B104"/>
    <mergeCell ref="E104:I104"/>
    <mergeCell ref="A105:B105"/>
    <mergeCell ref="E105:I105"/>
    <mergeCell ref="A108:A111"/>
    <mergeCell ref="D108:H108"/>
    <mergeCell ref="D109:H109"/>
    <mergeCell ref="D110:H110"/>
    <mergeCell ref="D111:H111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2023-03-14T03:49:01Z</dcterms:modified>
  <cp:category/>
  <cp:version/>
  <cp:contentType/>
  <cp:contentStatus/>
</cp:coreProperties>
</file>