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tabRatio="786" activeTab="2"/>
  </bookViews>
  <sheets>
    <sheet name="1 Общ. инфор." sheetId="1" r:id="rId1"/>
    <sheet name="2 Показат. кач. передача" sheetId="2" r:id="rId2"/>
    <sheet name="3 Показатели кач. тех. прис." sheetId="3" r:id="rId3"/>
    <sheet name="4 Качество обслуживания" sheetId="4" r:id="rId4"/>
  </sheets>
  <definedNames>
    <definedName name="_xlnm.Print_Area" localSheetId="0">'1 Общ. инфор.'!$A$1:$N$32</definedName>
    <definedName name="_xlnm.Print_Area" localSheetId="1">'2 Показат. кач. передача'!$A$1:$T$48</definedName>
    <definedName name="_xlnm.Print_Area" localSheetId="2">'3 Показатели кач. тех. прис.'!$A$1:$T$26</definedName>
    <definedName name="_xlnm.Print_Area" localSheetId="3">'4 Качество обслуживания'!$A$1:$AD$69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к-во потребителей из расчета объектов по адресно</t>
        </r>
      </text>
    </comment>
    <comment ref="A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к-во исходя из установленных счетчиков</t>
        </r>
      </text>
    </comment>
  </commentList>
</comments>
</file>

<file path=xl/sharedStrings.xml><?xml version="1.0" encoding="utf-8"?>
<sst xmlns="http://schemas.openxmlformats.org/spreadsheetml/2006/main" count="482" uniqueCount="269">
  <si>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</si>
  <si>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</si>
  <si>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</si>
  <si>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</si>
  <si>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</si>
  <si>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</si>
  <si>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</si>
  <si>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</si>
  <si>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</si>
  <si>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</si>
  <si>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</si>
  <si>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</si>
  <si>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</si>
  <si>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</si>
  <si>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</si>
  <si>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</si>
  <si>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</si>
  <si>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</si>
  <si>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</si>
  <si>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</si>
  <si>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</si>
  <si>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</si>
  <si>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</si>
  <si>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</si>
  <si>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</si>
  <si>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</si>
  <si>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</si>
  <si>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</si>
  <si>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</si>
  <si>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</si>
  <si>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</si>
  <si>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</si>
  <si>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</si>
  <si>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</si>
  <si>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</si>
  <si>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</si>
  <si>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</si>
  <si>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</si>
  <si>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</si>
  <si>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</si>
  <si>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</si>
  <si>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</si>
  <si>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</si>
  <si>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</si>
  <si>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</si>
  <si>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</si>
  <si>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</si>
  <si>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</si>
  <si>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Категория надежности</t>
  </si>
  <si>
    <t>Категории обращений потребителей</t>
  </si>
  <si>
    <t>Формы обслуживания</t>
  </si>
  <si>
    <t>Очная форма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</si>
  <si>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</si>
  <si>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</si>
  <si>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</si>
  <si>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</si>
  <si>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</si>
  <si>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</si>
  <si>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</si>
  <si>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</si>
  <si>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</si>
  <si>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</si>
  <si>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</si>
  <si>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</si>
  <si>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</si>
  <si>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</si>
  <si>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</si>
  <si>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</si>
  <si>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</si>
  <si>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</si>
  <si>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</si>
  <si>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</si>
  <si>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</si>
  <si>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</si>
  <si>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</si>
  <si>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</si>
  <si>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</si>
  <si>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</si>
  <si>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</si>
  <si>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номер телефона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</si>
  <si>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</si>
  <si>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</si>
  <si>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</si>
  <si>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</si>
  <si>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</si>
  <si>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</si>
  <si>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</si>
  <si>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</si>
  <si>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</si>
  <si>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</si>
  <si>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</si>
  <si>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</si>
  <si>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</si>
  <si>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</si>
  <si>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</si>
  <si>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</si>
  <si>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</si>
  <si>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</si>
  <si>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</si>
  <si>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</si>
  <si>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</si>
  <si>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</si>
  <si>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</si>
  <si>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</si>
  <si>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-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</si>
  <si>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</si>
  <si>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круглосуточно</t>
  </si>
  <si>
    <t>2.2. Рейтинг структурных единиц сетевой организации ИП Кацман В.В.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</si>
  <si>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ИП Кацман В.В.</t>
  </si>
  <si>
    <t xml:space="preserve">2.1 Показатели качества услуг по передача электроэнергии в целом по сетевой организации в отчетном периоде, а также динамика по отношению к прошлому году 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</si>
  <si>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 </t>
    </r>
    <r>
      <rPr>
        <b/>
        <sz val="10"/>
        <color indexed="8"/>
        <rFont val="Times New Roman"/>
        <family val="1"/>
      </rPr>
      <t>Раскрытию не подлежит, ввиду отсутствия для ИП Кацман В.В. инвестиционной программы, утвержденной РЭК Омской области.</t>
    </r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</si>
  <si>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форме: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</si>
  <si>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форме:</t>
  </si>
  <si>
    <t>1. На официальном сайте для оперативности реагирования в случае возникновения аварийной ситуации размещен телефон горячей линии;</t>
  </si>
  <si>
    <t xml:space="preserve"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 </t>
  </si>
  <si>
    <t>N                        (текущий год)</t>
  </si>
  <si>
    <t>№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</si>
  <si>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</si>
  <si>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</si>
  <si>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</si>
  <si>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</si>
  <si>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</si>
  <si>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</si>
  <si>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</si>
  <si>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</si>
  <si>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</si>
  <si>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</si>
  <si>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</si>
  <si>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</si>
  <si>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</si>
  <si>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</si>
  <si>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</si>
  <si>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</si>
  <si>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</si>
  <si>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</si>
  <si>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</si>
  <si>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</si>
  <si>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 xml:space="preserve"> -</t>
  </si>
  <si>
    <t>1</t>
  </si>
  <si>
    <t>4</t>
  </si>
  <si>
    <t>Центр обслуживания</t>
  </si>
  <si>
    <t>4.3 Информация о заочном обслуживании потребителей по средством телефонной связи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</si>
  <si>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</si>
  <si>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</si>
  <si>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мин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</si>
  <si>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</si>
  <si>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* - Обращений потребителей не поступало</t>
  </si>
  <si>
    <t>1. В случае обращения заявителя, относящегося к социально уязвимой категории граждан, он обслуживается без очереди.</t>
  </si>
  <si>
    <t xml:space="preserve"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</t>
  </si>
  <si>
    <t>1. На официальном сайте объявлен опрос заявителей на предмет удовлетворенностью работы "Центра обслуживания клиентов", опрос результатов не дал.</t>
  </si>
  <si>
    <t xml:space="preserve">4.8 Мероприятия, выполняемые сетевой организацией в целях повышения качества обслуживания потребителей.
</t>
  </si>
  <si>
    <t>2. Возможность обрабатывать обращения потребителей в интерактивном режиме, что заметно сокращает время обработки заявки и направления ответа.</t>
  </si>
  <si>
    <t>4.9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</si>
  <si>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</si>
  <si>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</si>
  <si>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</si>
  <si>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</si>
  <si>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</t>
  </si>
  <si>
    <t>Заочное, по телефону</t>
  </si>
  <si>
    <t>Заочное, через Интернет</t>
  </si>
  <si>
    <t>Письменное, по почте</t>
  </si>
  <si>
    <t>Обращения</t>
  </si>
  <si>
    <t>Оказание услуг по передаче э/э</t>
  </si>
  <si>
    <t>Осуществление тех. присоединения</t>
  </si>
  <si>
    <t>Коммерческий учет э/э</t>
  </si>
  <si>
    <t>Качество обслуживания потребителей</t>
  </si>
  <si>
    <t>Тех. обслуживание сетей</t>
  </si>
  <si>
    <t>Обращения, содержащие жалобу</t>
  </si>
  <si>
    <t>Качество оказания услуг по передаче э/э</t>
  </si>
  <si>
    <t>Качество э/э</t>
  </si>
  <si>
    <t>Качество услуг по тех. присоединению</t>
  </si>
  <si>
    <t>Обращения, содержащие заявку на оказание услуг</t>
  </si>
  <si>
    <t>По тех. присоединению</t>
  </si>
  <si>
    <t>Заключение договора оказания услуг по передаче э/э</t>
  </si>
  <si>
    <t>Организация коммерческого учета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</si>
  <si>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</si>
  <si>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</si>
  <si>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</si>
  <si>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</si>
  <si>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обращений</t>
  </si>
  <si>
    <t>Выполненные мероприятия по результатам обращению</t>
  </si>
  <si>
    <t>Планируемые мероприятия по результатам обращению</t>
  </si>
  <si>
    <t>очный</t>
  </si>
  <si>
    <t>заочный</t>
  </si>
  <si>
    <t>http://katsman-omsk.ru/centr-obsluzhivaniya-klientov/</t>
  </si>
  <si>
    <t xml:space="preserve">ЮЛ </t>
  </si>
  <si>
    <t>Тип потребителя</t>
  </si>
  <si>
    <t>К-во точек поставки, всего</t>
  </si>
  <si>
    <t>К-во точек поставки, оборудованных ПУ</t>
  </si>
  <si>
    <t>1. Общая информация о сетевой организации ИП Кацман В.В.</t>
  </si>
  <si>
    <t>К-во ТП</t>
  </si>
  <si>
    <t>Протяженность ВЛ</t>
  </si>
  <si>
    <t>Протяженность КЛ</t>
  </si>
  <si>
    <t xml:space="preserve"> -0,4кВ</t>
  </si>
  <si>
    <t xml:space="preserve"> -6, 10кВ</t>
  </si>
  <si>
    <t>Уровень физического износа</t>
  </si>
  <si>
    <t>Тип оборудования</t>
  </si>
  <si>
    <t>Показатель средней частоты прекращений передачи электрической энергии (                 )</t>
  </si>
  <si>
    <t>Показатель средней продолжительности прекращений передачи электрической энергии (      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</si>
  <si>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</si>
  <si>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  )</t>
  </si>
  <si>
    <t>2. Информация о качестве услуг по передаче электрической энергии по сетям сетевой организации ИП Кацман В.В.</t>
  </si>
  <si>
    <t xml:space="preserve">4. Качество обслуживания </t>
  </si>
  <si>
    <t>ТП</t>
  </si>
  <si>
    <t>КЛ/ВЛ</t>
  </si>
  <si>
    <t>не фиксируется</t>
  </si>
  <si>
    <t xml:space="preserve"> +</t>
  </si>
  <si>
    <t xml:space="preserve">  +</t>
  </si>
  <si>
    <t>ИП Кацман В.В.</t>
  </si>
  <si>
    <t xml:space="preserve">Население и прирав. </t>
  </si>
  <si>
    <t xml:space="preserve"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№ 5-ФЗ "О ветеранах" </t>
  </si>
  <si>
    <t>4.5 Описание дополнительных услуг, оказываемых потребителю, в Единых стандартах качества обслуживания сетевыми организациями потребителей сетевых организаций</t>
  </si>
  <si>
    <t>Заявки на оказание услуг:</t>
  </si>
  <si>
    <t>Обращения потребителей:</t>
  </si>
  <si>
    <t>Жалобы:</t>
  </si>
  <si>
    <t>фиксируется</t>
  </si>
  <si>
    <t>5</t>
  </si>
  <si>
    <t>6</t>
  </si>
  <si>
    <t>II, III</t>
  </si>
  <si>
    <t>Население и прирав., в т.ч.:</t>
  </si>
  <si>
    <t xml:space="preserve"> - ИПУ в ЧЖД</t>
  </si>
  <si>
    <t xml:space="preserve"> - ОДПУ в мжд</t>
  </si>
  <si>
    <t xml:space="preserve"> - АСКУЭ</t>
  </si>
  <si>
    <t>0</t>
  </si>
  <si>
    <t xml:space="preserve"> - приравненные</t>
  </si>
  <si>
    <t>10:00 - 16:00</t>
  </si>
  <si>
    <t>Заочная форма с использованием                          телефонной связи</t>
  </si>
  <si>
    <t>79-05-93</t>
  </si>
  <si>
    <t>0,300</t>
  </si>
  <si>
    <t>0,280</t>
  </si>
  <si>
    <t>2021 год (факт)</t>
  </si>
  <si>
    <t>2021 год</t>
  </si>
  <si>
    <t>н/д</t>
  </si>
  <si>
    <t>85,010</t>
  </si>
  <si>
    <t xml:space="preserve">1. Для упрощения процесса подачи заявки на технологическое присоединение через официальный сайт запущен модуль: "Окно подачи заявок";    </t>
  </si>
  <si>
    <t xml:space="preserve">2. Для подачи заявок выбраны удобные часы работы "Клиентского центра"; </t>
  </si>
  <si>
    <t>79-05-93; katcman64@mail.ru</t>
  </si>
  <si>
    <t>1. Поощрение дружелюбия и коммуникабельности сотрудников ЦОК при работе с заявителем</t>
  </si>
  <si>
    <t>2021</t>
  </si>
  <si>
    <t>+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</si>
  <si>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</si>
  <si>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заполняется в произвольной форме.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</si>
  <si>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</si>
  <si>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заполняется в произвольной форме и выражается в процентах по отношению к нормативному сроку службы объектов.</t>
  </si>
  <si>
    <t>2. Проводятся планово-предупредительные ремонты электросетевого оборудования;</t>
  </si>
  <si>
    <t>г. Омск, ул. 10 лет Октября, 203, стр1, каб. 13</t>
  </si>
  <si>
    <t>руб., без НДС</t>
  </si>
  <si>
    <t>Мощность энергопринимающих устройств заявителя, кВт</t>
  </si>
  <si>
    <t>I - II</t>
  </si>
  <si>
    <t>III</t>
  </si>
  <si>
    <t>Расстояние до границ земельного участка заявителя, м</t>
  </si>
  <si>
    <t>Необходимость строительства ТП</t>
  </si>
  <si>
    <t>Тип линии</t>
  </si>
  <si>
    <t>ЮЛ, ИП</t>
  </si>
  <si>
    <t>ЮЛ, ИП, ФЛ-льготники (СНТ, ГСК, церкви, объединения гаражей, сараев и т.д.)</t>
  </si>
  <si>
    <t>Способ расчета</t>
  </si>
  <si>
    <t>По стандартизированной тарифной ставке (постоянная схема)</t>
  </si>
  <si>
    <t>По ставке за единицу мощности (постоянная схема)</t>
  </si>
  <si>
    <t>300 - городская местность</t>
  </si>
  <si>
    <t>Да</t>
  </si>
  <si>
    <t>КЛвн</t>
  </si>
  <si>
    <t>ВЛвн</t>
  </si>
  <si>
    <t>Нет</t>
  </si>
  <si>
    <t>КЛнн</t>
  </si>
  <si>
    <t>550 (с учетом НДС)</t>
  </si>
  <si>
    <t>ВЛнн</t>
  </si>
  <si>
    <t>500 - сельская местность</t>
  </si>
  <si>
    <t>Выполненный расчет является ориентировочным, итоговый расчет будет произведен после подачи заявки на ТП при подготовке договора об осуществлении технологического присоединения.</t>
  </si>
  <si>
    <t>1. Стоимость услуг тех. присоединения к сетям ИП Кацман В.В. определяется согласно тарифным ставкам, установленными в редакции  Приказа РЭК № 567/91 от 24.12.2020г «Об установлении ставок платы за технологическое присоединение к территориальным распределительным электрическим сетям на территории Омской области на 2021 год» Расчет окончательной стоимости определяется по формулам, указанным в Приложении №4 настоящего приказа.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</si>
</sst>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justify"/>
    </xf>
    <xf numFmtId="0" fontId="48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9" fontId="46" fillId="0" borderId="0" xfId="0" applyNumberFormat="1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2" fontId="46" fillId="0" borderId="10" xfId="0" applyNumberFormat="1" applyFont="1" applyBorder="1" applyAlignment="1">
      <alignment horizontal="center" vertical="center" textRotation="180" wrapText="1"/>
    </xf>
    <xf numFmtId="2" fontId="46" fillId="0" borderId="0" xfId="0" applyNumberFormat="1" applyFont="1" applyAlignment="1">
      <alignment horizontal="center" vertical="center" textRotation="180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16" fontId="47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2" fontId="47" fillId="0" borderId="0" xfId="0" applyNumberFormat="1" applyFont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0" fontId="46" fillId="0" borderId="0" xfId="0" applyFont="1" applyAlignment="1">
      <alignment vertical="top" wrapText="1"/>
    </xf>
    <xf numFmtId="49" fontId="46" fillId="0" borderId="0" xfId="0" applyNumberFormat="1" applyFont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6" fillId="0" borderId="11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top" wrapText="1"/>
    </xf>
    <xf numFmtId="2" fontId="4" fillId="0" borderId="10" xfId="0" applyNumberFormat="1" applyFont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49" fontId="46" fillId="0" borderId="10" xfId="0" applyNumberFormat="1" applyFont="1" applyBorder="1" applyAlignment="1">
      <alignment/>
    </xf>
    <xf numFmtId="49" fontId="46" fillId="0" borderId="15" xfId="0" applyNumberFormat="1" applyFont="1" applyBorder="1" applyAlignment="1">
      <alignment horizontal="center"/>
    </xf>
    <xf numFmtId="49" fontId="46" fillId="0" borderId="0" xfId="0" applyNumberFormat="1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wrapText="1"/>
    </xf>
    <xf numFmtId="49" fontId="46" fillId="0" borderId="14" xfId="0" applyNumberFormat="1" applyFont="1" applyBorder="1" applyAlignment="1">
      <alignment/>
    </xf>
    <xf numFmtId="1" fontId="46" fillId="0" borderId="13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49" fontId="46" fillId="33" borderId="13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wrapText="1"/>
    </xf>
    <xf numFmtId="49" fontId="46" fillId="33" borderId="14" xfId="0" applyNumberFormat="1" applyFont="1" applyFill="1" applyBorder="1" applyAlignment="1">
      <alignment horizontal="center" wrapText="1"/>
    </xf>
    <xf numFmtId="49" fontId="46" fillId="33" borderId="13" xfId="0" applyNumberFormat="1" applyFont="1" applyFill="1" applyBorder="1" applyAlignment="1">
      <alignment horizontal="center" wrapText="1"/>
    </xf>
    <xf numFmtId="49" fontId="46" fillId="33" borderId="16" xfId="0" applyNumberFormat="1" applyFont="1" applyFill="1" applyBorder="1" applyAlignment="1">
      <alignment horizontal="center" wrapText="1"/>
    </xf>
    <xf numFmtId="49" fontId="46" fillId="33" borderId="10" xfId="0" applyNumberFormat="1" applyFont="1" applyFill="1" applyBorder="1" applyAlignment="1">
      <alignment horizontal="center"/>
    </xf>
    <xf numFmtId="49" fontId="46" fillId="33" borderId="16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47" fillId="0" borderId="10" xfId="0" applyFont="1" applyFill="1" applyBorder="1" applyAlignment="1">
      <alignment horizontal="center" vertical="top" wrapText="1"/>
    </xf>
    <xf numFmtId="16" fontId="47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right" vertical="top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justify"/>
    </xf>
    <xf numFmtId="0" fontId="47" fillId="0" borderId="10" xfId="0" applyFont="1" applyFill="1" applyBorder="1" applyAlignment="1">
      <alignment vertical="top" wrapText="1"/>
    </xf>
    <xf numFmtId="0" fontId="46" fillId="0" borderId="0" xfId="0" applyFont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6" fillId="34" borderId="10" xfId="0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1" fontId="46" fillId="0" borderId="0" xfId="0" applyNumberFormat="1" applyFont="1" applyBorder="1" applyAlignment="1">
      <alignment horizontal="center" vertical="center"/>
    </xf>
    <xf numFmtId="1" fontId="46" fillId="0" borderId="0" xfId="0" applyNumberFormat="1" applyFont="1" applyBorder="1" applyAlignment="1">
      <alignment horizontal="center"/>
    </xf>
    <xf numFmtId="1" fontId="46" fillId="0" borderId="10" xfId="0" applyNumberFormat="1" applyFont="1" applyFill="1" applyBorder="1" applyAlignment="1">
      <alignment horizontal="center" vertical="center"/>
    </xf>
    <xf numFmtId="1" fontId="46" fillId="0" borderId="16" xfId="0" applyNumberFormat="1" applyFont="1" applyFill="1" applyBorder="1" applyAlignment="1">
      <alignment horizontal="center" vertical="center"/>
    </xf>
    <xf numFmtId="1" fontId="46" fillId="0" borderId="11" xfId="0" applyNumberFormat="1" applyFont="1" applyFill="1" applyBorder="1" applyAlignment="1">
      <alignment horizontal="center"/>
    </xf>
    <xf numFmtId="1" fontId="46" fillId="0" borderId="12" xfId="0" applyNumberFormat="1" applyFont="1" applyFill="1" applyBorder="1" applyAlignment="1">
      <alignment horizontal="center" vertical="center"/>
    </xf>
    <xf numFmtId="49" fontId="46" fillId="33" borderId="17" xfId="0" applyNumberFormat="1" applyFont="1" applyFill="1" applyBorder="1" applyAlignment="1">
      <alignment horizontal="center" vertical="center" wrapText="1"/>
    </xf>
    <xf numFmtId="49" fontId="46" fillId="33" borderId="18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" fontId="46" fillId="0" borderId="19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top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33" borderId="20" xfId="0" applyNumberFormat="1" applyFont="1" applyFill="1" applyBorder="1" applyAlignment="1">
      <alignment horizontal="center"/>
    </xf>
    <xf numFmtId="49" fontId="46" fillId="33" borderId="21" xfId="0" applyNumberFormat="1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49" fontId="46" fillId="0" borderId="23" xfId="0" applyNumberFormat="1" applyFont="1" applyFill="1" applyBorder="1" applyAlignment="1">
      <alignment horizontal="center"/>
    </xf>
    <xf numFmtId="49" fontId="46" fillId="0" borderId="24" xfId="0" applyNumberFormat="1" applyFont="1" applyFill="1" applyBorder="1" applyAlignment="1">
      <alignment horizontal="center"/>
    </xf>
    <xf numFmtId="49" fontId="46" fillId="0" borderId="25" xfId="0" applyNumberFormat="1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/>
    </xf>
    <xf numFmtId="0" fontId="46" fillId="0" borderId="27" xfId="0" applyFont="1" applyFill="1" applyBorder="1" applyAlignment="1">
      <alignment horizontal="center"/>
    </xf>
    <xf numFmtId="49" fontId="46" fillId="0" borderId="27" xfId="0" applyNumberFormat="1" applyFont="1" applyFill="1" applyBorder="1" applyAlignment="1">
      <alignment horizontal="center"/>
    </xf>
    <xf numFmtId="49" fontId="46" fillId="0" borderId="28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7" fillId="34" borderId="29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left" wrapText="1"/>
    </xf>
    <xf numFmtId="0" fontId="46" fillId="0" borderId="0" xfId="0" applyFont="1" applyAlignment="1">
      <alignment horizontal="right"/>
    </xf>
    <xf numFmtId="0" fontId="47" fillId="34" borderId="13" xfId="0" applyFont="1" applyFill="1" applyBorder="1" applyAlignment="1">
      <alignment horizontal="center" vertical="top" wrapText="1"/>
    </xf>
    <xf numFmtId="0" fontId="47" fillId="34" borderId="16" xfId="0" applyFont="1" applyFill="1" applyBorder="1" applyAlignment="1">
      <alignment horizontal="center" vertical="top" wrapText="1"/>
    </xf>
    <xf numFmtId="0" fontId="47" fillId="34" borderId="30" xfId="0" applyFont="1" applyFill="1" applyBorder="1" applyAlignment="1">
      <alignment horizontal="center" vertical="top" wrapText="1"/>
    </xf>
    <xf numFmtId="0" fontId="47" fillId="34" borderId="31" xfId="0" applyFont="1" applyFill="1" applyBorder="1" applyAlignment="1">
      <alignment horizontal="center" vertical="top" wrapText="1"/>
    </xf>
    <xf numFmtId="0" fontId="47" fillId="34" borderId="32" xfId="0" applyFont="1" applyFill="1" applyBorder="1" applyAlignment="1">
      <alignment horizontal="center" vertical="top" wrapText="1"/>
    </xf>
    <xf numFmtId="0" fontId="47" fillId="34" borderId="33" xfId="0" applyFont="1" applyFill="1" applyBorder="1" applyAlignment="1">
      <alignment horizontal="center" vertical="top" wrapText="1"/>
    </xf>
    <xf numFmtId="0" fontId="47" fillId="0" borderId="18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4" fontId="47" fillId="0" borderId="30" xfId="0" applyNumberFormat="1" applyFont="1" applyFill="1" applyBorder="1" applyAlignment="1">
      <alignment horizontal="center" vertical="center" wrapText="1"/>
    </xf>
    <xf numFmtId="49" fontId="46" fillId="33" borderId="34" xfId="0" applyNumberFormat="1" applyFont="1" applyFill="1" applyBorder="1" applyAlignment="1">
      <alignment horizontal="center" vertical="center" wrapText="1"/>
    </xf>
    <xf numFmtId="49" fontId="46" fillId="33" borderId="35" xfId="0" applyNumberFormat="1" applyFont="1" applyFill="1" applyBorder="1" applyAlignment="1">
      <alignment horizontal="center" vertical="center" wrapText="1"/>
    </xf>
    <xf numFmtId="49" fontId="46" fillId="33" borderId="36" xfId="0" applyNumberFormat="1" applyFont="1" applyFill="1" applyBorder="1" applyAlignment="1">
      <alignment horizontal="center" vertical="center" wrapText="1"/>
    </xf>
    <xf numFmtId="49" fontId="46" fillId="33" borderId="20" xfId="0" applyNumberFormat="1" applyFont="1" applyFill="1" applyBorder="1" applyAlignment="1">
      <alignment horizontal="center"/>
    </xf>
    <xf numFmtId="49" fontId="46" fillId="33" borderId="21" xfId="0" applyNumberFormat="1" applyFont="1" applyFill="1" applyBorder="1" applyAlignment="1">
      <alignment horizontal="center"/>
    </xf>
    <xf numFmtId="49" fontId="46" fillId="33" borderId="22" xfId="0" applyNumberFormat="1" applyFont="1" applyFill="1" applyBorder="1" applyAlignment="1">
      <alignment horizontal="center"/>
    </xf>
    <xf numFmtId="49" fontId="46" fillId="33" borderId="14" xfId="0" applyNumberFormat="1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49" fontId="46" fillId="33" borderId="13" xfId="0" applyNumberFormat="1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/>
    </xf>
    <xf numFmtId="49" fontId="46" fillId="33" borderId="16" xfId="0" applyNumberFormat="1" applyFont="1" applyFill="1" applyBorder="1" applyAlignment="1">
      <alignment horizontal="center"/>
    </xf>
    <xf numFmtId="49" fontId="46" fillId="33" borderId="37" xfId="0" applyNumberFormat="1" applyFont="1" applyFill="1" applyBorder="1" applyAlignment="1">
      <alignment horizontal="center" vertical="center" wrapText="1"/>
    </xf>
    <xf numFmtId="49" fontId="46" fillId="33" borderId="18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 horizontal="center" vertical="center" wrapText="1"/>
    </xf>
    <xf numFmtId="0" fontId="46" fillId="33" borderId="39" xfId="0" applyFont="1" applyFill="1" applyBorder="1" applyAlignment="1">
      <alignment horizontal="center" vertical="center" wrapText="1"/>
    </xf>
    <xf numFmtId="49" fontId="46" fillId="33" borderId="20" xfId="0" applyNumberFormat="1" applyFont="1" applyFill="1" applyBorder="1" applyAlignment="1">
      <alignment horizontal="center" vertical="center" wrapText="1"/>
    </xf>
    <xf numFmtId="49" fontId="46" fillId="33" borderId="22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top" wrapText="1"/>
    </xf>
    <xf numFmtId="175" fontId="3" fillId="0" borderId="29" xfId="0" applyNumberFormat="1" applyFont="1" applyFill="1" applyBorder="1" applyAlignment="1">
      <alignment horizontal="center" vertical="center" wrapText="1"/>
    </xf>
    <xf numFmtId="175" fontId="3" fillId="0" borderId="40" xfId="0" applyNumberFormat="1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left" vertical="top" wrapText="1"/>
    </xf>
    <xf numFmtId="0" fontId="47" fillId="0" borderId="40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left" wrapText="1"/>
    </xf>
    <xf numFmtId="0" fontId="47" fillId="0" borderId="10" xfId="0" applyFont="1" applyFill="1" applyBorder="1" applyAlignment="1">
      <alignment horizontal="center" vertical="top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justify" wrapText="1"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horizontal="left" wrapText="1"/>
    </xf>
    <xf numFmtId="0" fontId="47" fillId="0" borderId="29" xfId="0" applyFont="1" applyFill="1" applyBorder="1" applyAlignment="1">
      <alignment horizontal="center" vertical="top" wrapText="1"/>
    </xf>
    <xf numFmtId="0" fontId="47" fillId="0" borderId="4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left" wrapText="1"/>
    </xf>
    <xf numFmtId="0" fontId="52" fillId="0" borderId="0" xfId="0" applyFont="1" applyAlignment="1">
      <alignment horizontal="left" vertical="center"/>
    </xf>
    <xf numFmtId="0" fontId="47" fillId="0" borderId="3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4" fontId="47" fillId="0" borderId="30" xfId="0" applyNumberFormat="1" applyFont="1" applyFill="1" applyBorder="1" applyAlignment="1">
      <alignment horizontal="center" vertical="center" wrapText="1"/>
    </xf>
    <xf numFmtId="3" fontId="47" fillId="0" borderId="30" xfId="0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34" borderId="43" xfId="0" applyFont="1" applyFill="1" applyBorder="1" applyAlignment="1">
      <alignment horizontal="center" vertical="top" wrapText="1"/>
    </xf>
    <xf numFmtId="0" fontId="47" fillId="34" borderId="18" xfId="0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wrapText="1"/>
    </xf>
    <xf numFmtId="0" fontId="47" fillId="34" borderId="16" xfId="0" applyFont="1" applyFill="1" applyBorder="1" applyAlignment="1">
      <alignment horizontal="center" vertical="top" wrapText="1"/>
    </xf>
    <xf numFmtId="0" fontId="47" fillId="34" borderId="44" xfId="0" applyFont="1" applyFill="1" applyBorder="1" applyAlignment="1">
      <alignment horizontal="center" vertical="top" wrapText="1"/>
    </xf>
    <xf numFmtId="0" fontId="47" fillId="34" borderId="45" xfId="0" applyFont="1" applyFill="1" applyBorder="1" applyAlignment="1">
      <alignment horizontal="center" vertical="top" wrapText="1"/>
    </xf>
    <xf numFmtId="0" fontId="47" fillId="34" borderId="46" xfId="0" applyFont="1" applyFill="1" applyBorder="1" applyAlignment="1">
      <alignment horizontal="center" vertical="top" wrapText="1"/>
    </xf>
    <xf numFmtId="0" fontId="47" fillId="34" borderId="47" xfId="0" applyFont="1" applyFill="1" applyBorder="1" applyAlignment="1">
      <alignment horizontal="center" vertical="top" wrapText="1"/>
    </xf>
    <xf numFmtId="0" fontId="47" fillId="34" borderId="48" xfId="0" applyFont="1" applyFill="1" applyBorder="1" applyAlignment="1">
      <alignment horizontal="center" vertical="top" wrapText="1"/>
    </xf>
    <xf numFmtId="0" fontId="47" fillId="34" borderId="49" xfId="0" applyFont="1" applyFill="1" applyBorder="1" applyAlignment="1">
      <alignment horizontal="center" vertical="top" wrapText="1"/>
    </xf>
    <xf numFmtId="0" fontId="47" fillId="0" borderId="50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3" fontId="47" fillId="0" borderId="43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7" fillId="34" borderId="17" xfId="0" applyFont="1" applyFill="1" applyBorder="1" applyAlignment="1">
      <alignment horizontal="center" vertical="top" wrapText="1"/>
    </xf>
    <xf numFmtId="0" fontId="47" fillId="34" borderId="37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47" fillId="34" borderId="29" xfId="0" applyFont="1" applyFill="1" applyBorder="1" applyAlignment="1">
      <alignment horizontal="center" vertical="top" wrapText="1"/>
    </xf>
    <xf numFmtId="0" fontId="47" fillId="34" borderId="51" xfId="0" applyFont="1" applyFill="1" applyBorder="1" applyAlignment="1">
      <alignment horizontal="center" vertical="top" wrapText="1"/>
    </xf>
    <xf numFmtId="0" fontId="47" fillId="34" borderId="40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16" fontId="46" fillId="0" borderId="0" xfId="0" applyNumberFormat="1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16" fontId="49" fillId="0" borderId="0" xfId="0" applyNumberFormat="1" applyFont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3" fontId="47" fillId="0" borderId="17" xfId="0" applyNumberFormat="1" applyFont="1" applyFill="1" applyBorder="1" applyAlignment="1">
      <alignment horizontal="center" vertical="center" wrapText="1"/>
    </xf>
    <xf numFmtId="4" fontId="47" fillId="0" borderId="18" xfId="0" applyNumberFormat="1" applyFont="1" applyFill="1" applyBorder="1" applyAlignment="1">
      <alignment horizontal="center" vertical="center" wrapText="1"/>
    </xf>
    <xf numFmtId="3" fontId="47" fillId="0" borderId="13" xfId="0" applyNumberFormat="1" applyFont="1" applyFill="1" applyBorder="1" applyAlignment="1">
      <alignment horizontal="center" vertical="center" wrapText="1"/>
    </xf>
    <xf numFmtId="4" fontId="47" fillId="0" borderId="16" xfId="0" applyNumberFormat="1" applyFont="1" applyFill="1" applyBorder="1" applyAlignment="1">
      <alignment horizontal="center" vertical="center" wrapText="1"/>
    </xf>
    <xf numFmtId="4" fontId="47" fillId="0" borderId="13" xfId="0" applyNumberFormat="1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center" vertical="center" wrapText="1"/>
    </xf>
    <xf numFmtId="4" fontId="47" fillId="0" borderId="41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3" fontId="47" fillId="0" borderId="52" xfId="0" applyNumberFormat="1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/>
    </xf>
    <xf numFmtId="0" fontId="54" fillId="0" borderId="53" xfId="0" applyFont="1" applyFill="1" applyBorder="1" applyAlignment="1">
      <alignment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4" fontId="47" fillId="0" borderId="18" xfId="0" applyNumberFormat="1" applyFont="1" applyFill="1" applyBorder="1" applyAlignment="1">
      <alignment horizontal="center" vertical="center" wrapText="1"/>
    </xf>
    <xf numFmtId="4" fontId="47" fillId="0" borderId="16" xfId="0" applyNumberFormat="1" applyFont="1" applyFill="1" applyBorder="1" applyAlignment="1">
      <alignment horizontal="center" vertical="center" wrapText="1"/>
    </xf>
    <xf numFmtId="4" fontId="47" fillId="0" borderId="22" xfId="0" applyNumberFormat="1" applyFont="1" applyFill="1" applyBorder="1" applyAlignment="1">
      <alignment horizontal="center" vertical="center" wrapText="1"/>
    </xf>
    <xf numFmtId="4" fontId="47" fillId="0" borderId="28" xfId="0" applyNumberFormat="1" applyFont="1" applyFill="1" applyBorder="1" applyAlignment="1">
      <alignment horizontal="center" vertical="center" wrapText="1"/>
    </xf>
    <xf numFmtId="4" fontId="3" fillId="0" borderId="5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53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7" fillId="0" borderId="43" xfId="0" applyNumberFormat="1" applyFont="1" applyFill="1" applyBorder="1" applyAlignment="1">
      <alignment horizontal="center" vertical="center" wrapText="1"/>
    </xf>
    <xf numFmtId="4" fontId="47" fillId="0" borderId="41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47" fillId="0" borderId="52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Fill="1" applyBorder="1" applyAlignment="1">
      <alignment horizontal="center" vertical="center" wrapText="1"/>
    </xf>
    <xf numFmtId="4" fontId="47" fillId="0" borderId="53" xfId="0" applyNumberFormat="1" applyFont="1" applyFill="1" applyBorder="1" applyAlignment="1">
      <alignment horizontal="center"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4" fontId="47" fillId="0" borderId="13" xfId="0" applyNumberFormat="1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center" vertical="center" wrapText="1"/>
    </xf>
    <xf numFmtId="0" fontId="47" fillId="34" borderId="52" xfId="0" applyFont="1" applyFill="1" applyBorder="1" applyAlignment="1">
      <alignment horizontal="center" vertical="top" wrapText="1"/>
    </xf>
    <xf numFmtId="0" fontId="47" fillId="34" borderId="14" xfId="0" applyFont="1" applyFill="1" applyBorder="1" applyAlignment="1">
      <alignment horizontal="center" vertical="top" wrapText="1"/>
    </xf>
    <xf numFmtId="0" fontId="47" fillId="34" borderId="38" xfId="0" applyFont="1" applyFill="1" applyBorder="1" applyAlignment="1">
      <alignment horizontal="center" vertical="top" wrapText="1"/>
    </xf>
    <xf numFmtId="0" fontId="47" fillId="34" borderId="15" xfId="0" applyFont="1" applyFill="1" applyBorder="1" applyAlignment="1">
      <alignment horizontal="center" vertical="top" wrapText="1"/>
    </xf>
    <xf numFmtId="0" fontId="47" fillId="34" borderId="12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6</xdr:row>
      <xdr:rowOff>142875</xdr:rowOff>
    </xdr:from>
    <xdr:to>
      <xdr:col>1</xdr:col>
      <xdr:colOff>1895475</xdr:colOff>
      <xdr:row>7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53352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12</xdr:row>
      <xdr:rowOff>171450</xdr:rowOff>
    </xdr:from>
    <xdr:to>
      <xdr:col>1</xdr:col>
      <xdr:colOff>962025</xdr:colOff>
      <xdr:row>13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743200"/>
          <a:ext cx="371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1666875</xdr:colOff>
      <xdr:row>18</xdr:row>
      <xdr:rowOff>647700</xdr:rowOff>
    </xdr:from>
    <xdr:to>
      <xdr:col>1</xdr:col>
      <xdr:colOff>2466975</xdr:colOff>
      <xdr:row>19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4400550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24</xdr:row>
      <xdr:rowOff>666750</xdr:rowOff>
    </xdr:from>
    <xdr:to>
      <xdr:col>1</xdr:col>
      <xdr:colOff>1428750</xdr:colOff>
      <xdr:row>25</xdr:row>
      <xdr:rowOff>85725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086475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02982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00584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101441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82475" y="1017270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zoomScalePageLayoutView="0" workbookViewId="0" topLeftCell="A1">
      <selection activeCell="B37" sqref="B37"/>
    </sheetView>
  </sheetViews>
  <sheetFormatPr defaultColWidth="9.140625" defaultRowHeight="15"/>
  <cols>
    <col min="1" max="1" width="25.8515625" style="42" customWidth="1"/>
    <col min="2" max="2" width="15.421875" style="42" customWidth="1"/>
    <col min="3" max="3" width="15.28125" style="42" customWidth="1"/>
    <col min="4" max="4" width="13.8515625" style="42" customWidth="1"/>
    <col min="5" max="5" width="13.28125" style="1" customWidth="1"/>
    <col min="6" max="6" width="13.8515625" style="1" customWidth="1"/>
    <col min="7" max="7" width="13.140625" style="1" customWidth="1"/>
    <col min="8" max="8" width="11.7109375" style="1" customWidth="1"/>
    <col min="9" max="9" width="12.57421875" style="1" customWidth="1"/>
    <col min="10" max="10" width="12.8515625" style="1" customWidth="1"/>
    <col min="11" max="11" width="11.57421875" style="1" customWidth="1"/>
    <col min="12" max="12" width="12.57421875" style="1" customWidth="1"/>
    <col min="13" max="13" width="14.421875" style="1" customWidth="1"/>
    <col min="14" max="14" width="11.57421875" style="1" customWidth="1"/>
    <col min="15" max="15" width="12.57421875" style="1" customWidth="1"/>
    <col min="16" max="16384" width="9.140625" style="1" customWidth="1"/>
  </cols>
  <sheetData>
    <row r="1" spans="1:18" ht="15.75">
      <c r="A1" s="142" t="s">
        <v>189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ht="15"/>
    <row r="3" spans="1:24" s="38" customFormat="1" ht="45.75" customHeight="1" thickBot="1">
      <c r="A3" s="141" t="s">
        <v>240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5"/>
      <c r="P3" s="5"/>
      <c r="Q3" s="5"/>
      <c r="R3" s="5"/>
      <c r="S3" s="5"/>
      <c r="T3" s="5"/>
      <c r="U3" s="5"/>
      <c r="V3" s="5"/>
      <c r="W3" s="5"/>
      <c r="X3" s="5"/>
    </row>
    <row r="4" spans="1:6" ht="15">
      <c r="A4" s="146" t="s">
        <v>186</v>
      </c>
      <c r="B4" s="133" t="s">
        <v>48</v>
      </c>
      <c r="C4" s="143" t="s">
        <v>230</v>
      </c>
      <c r="D4" s="144"/>
      <c r="E4" s="144"/>
      <c r="F4" s="145"/>
    </row>
    <row r="5" spans="1:6" s="39" customFormat="1" ht="15">
      <c r="A5" s="146"/>
      <c r="B5" s="133"/>
      <c r="C5" s="48" t="s">
        <v>19</v>
      </c>
      <c r="D5" s="49" t="s">
        <v>20</v>
      </c>
      <c r="E5" s="50" t="s">
        <v>21</v>
      </c>
      <c r="F5" s="51" t="s">
        <v>22</v>
      </c>
    </row>
    <row r="6" spans="1:6" s="39" customFormat="1" ht="15">
      <c r="A6" s="52" t="s">
        <v>138</v>
      </c>
      <c r="B6" s="53" t="s">
        <v>123</v>
      </c>
      <c r="C6" s="54" t="s">
        <v>132</v>
      </c>
      <c r="D6" s="52" t="s">
        <v>139</v>
      </c>
      <c r="E6" s="52" t="s">
        <v>216</v>
      </c>
      <c r="F6" s="55" t="s">
        <v>217</v>
      </c>
    </row>
    <row r="7" spans="1:9" ht="15">
      <c r="A7" s="40" t="s">
        <v>185</v>
      </c>
      <c r="B7" s="37" t="s">
        <v>218</v>
      </c>
      <c r="C7" s="34" t="s">
        <v>137</v>
      </c>
      <c r="D7" s="35" t="s">
        <v>137</v>
      </c>
      <c r="E7" s="87">
        <v>242</v>
      </c>
      <c r="F7" s="88">
        <v>497</v>
      </c>
      <c r="H7" s="85"/>
      <c r="I7" s="85"/>
    </row>
    <row r="8" spans="1:9" ht="15.75" thickBot="1">
      <c r="A8" s="40" t="s">
        <v>209</v>
      </c>
      <c r="B8" s="37" t="s">
        <v>218</v>
      </c>
      <c r="C8" s="41" t="s">
        <v>137</v>
      </c>
      <c r="D8" s="28" t="s">
        <v>137</v>
      </c>
      <c r="E8" s="89">
        <v>24</v>
      </c>
      <c r="F8" s="90">
        <v>563</v>
      </c>
      <c r="H8" s="86"/>
      <c r="I8" s="85"/>
    </row>
    <row r="9" ht="15">
      <c r="A9" s="27"/>
    </row>
    <row r="10" spans="1:14" s="43" customFormat="1" ht="60" customHeight="1" thickBot="1">
      <c r="A10" s="141" t="s">
        <v>241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0" s="44" customFormat="1" ht="54.75">
      <c r="A11" s="147" t="s">
        <v>186</v>
      </c>
      <c r="B11" s="91" t="s">
        <v>187</v>
      </c>
      <c r="C11" s="92" t="s">
        <v>188</v>
      </c>
      <c r="D11" s="4"/>
      <c r="E11" s="4"/>
      <c r="F11" s="4"/>
      <c r="G11" s="4"/>
      <c r="H11" s="4"/>
      <c r="I11" s="4"/>
      <c r="J11" s="4"/>
    </row>
    <row r="12" spans="1:10" s="44" customFormat="1" ht="15" customHeight="1">
      <c r="A12" s="148"/>
      <c r="B12" s="149" t="s">
        <v>230</v>
      </c>
      <c r="C12" s="150"/>
      <c r="D12" s="4"/>
      <c r="E12" s="4"/>
      <c r="F12" s="4"/>
      <c r="G12" s="4"/>
      <c r="H12" s="4"/>
      <c r="I12" s="4"/>
      <c r="J12" s="4"/>
    </row>
    <row r="13" spans="1:10" s="44" customFormat="1" ht="13.5">
      <c r="A13" s="53" t="s">
        <v>138</v>
      </c>
      <c r="B13" s="54" t="s">
        <v>123</v>
      </c>
      <c r="C13" s="55" t="s">
        <v>132</v>
      </c>
      <c r="D13" s="4"/>
      <c r="E13" s="4"/>
      <c r="F13" s="4"/>
      <c r="G13" s="4"/>
      <c r="H13" s="4"/>
      <c r="I13" s="4"/>
      <c r="J13" s="4"/>
    </row>
    <row r="14" spans="1:4" ht="13.5">
      <c r="A14" s="45" t="s">
        <v>185</v>
      </c>
      <c r="B14" s="46">
        <v>994</v>
      </c>
      <c r="C14" s="47">
        <v>725</v>
      </c>
      <c r="D14" s="1"/>
    </row>
    <row r="15" spans="1:4" ht="13.5">
      <c r="A15" s="45" t="s">
        <v>219</v>
      </c>
      <c r="B15" s="113">
        <v>1114</v>
      </c>
      <c r="C15" s="112">
        <v>1048</v>
      </c>
      <c r="D15" s="1"/>
    </row>
    <row r="16" spans="1:4" ht="13.5">
      <c r="A16" s="45" t="s">
        <v>224</v>
      </c>
      <c r="B16" s="113">
        <v>6</v>
      </c>
      <c r="C16" s="94">
        <v>6</v>
      </c>
      <c r="D16" s="1"/>
    </row>
    <row r="17" spans="1:4" ht="13.5">
      <c r="A17" s="45" t="s">
        <v>220</v>
      </c>
      <c r="B17" s="113">
        <v>420</v>
      </c>
      <c r="C17" s="94">
        <v>420</v>
      </c>
      <c r="D17" s="1"/>
    </row>
    <row r="18" spans="1:4" ht="13.5">
      <c r="A18" s="45" t="s">
        <v>221</v>
      </c>
      <c r="B18" s="113">
        <v>688</v>
      </c>
      <c r="C18" s="94">
        <v>622</v>
      </c>
      <c r="D18" s="1"/>
    </row>
    <row r="19" spans="1:4" ht="14.25" thickBot="1">
      <c r="A19" s="45" t="s">
        <v>222</v>
      </c>
      <c r="B19" s="41" t="s">
        <v>223</v>
      </c>
      <c r="C19" s="29">
        <v>0</v>
      </c>
      <c r="D19" s="1"/>
    </row>
    <row r="21" spans="1:14" ht="39.75" customHeight="1" thickBot="1">
      <c r="A21" s="141" t="s">
        <v>242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</row>
    <row r="22" spans="1:5" s="4" customFormat="1" ht="15" customHeight="1">
      <c r="A22" s="134" t="s">
        <v>190</v>
      </c>
      <c r="B22" s="139" t="s">
        <v>191</v>
      </c>
      <c r="C22" s="139"/>
      <c r="D22" s="139" t="s">
        <v>192</v>
      </c>
      <c r="E22" s="140"/>
    </row>
    <row r="23" spans="1:5" ht="13.5">
      <c r="A23" s="135"/>
      <c r="B23" s="56" t="s">
        <v>194</v>
      </c>
      <c r="C23" s="56" t="s">
        <v>193</v>
      </c>
      <c r="D23" s="56" t="s">
        <v>194</v>
      </c>
      <c r="E23" s="57" t="s">
        <v>193</v>
      </c>
    </row>
    <row r="24" spans="1:8" ht="13.5">
      <c r="A24" s="136" t="s">
        <v>230</v>
      </c>
      <c r="B24" s="137"/>
      <c r="C24" s="137"/>
      <c r="D24" s="137"/>
      <c r="E24" s="138"/>
      <c r="H24" s="39"/>
    </row>
    <row r="25" spans="1:14" s="39" customFormat="1" ht="14.25" thickBot="1">
      <c r="A25" s="79">
        <v>77</v>
      </c>
      <c r="B25" s="80" t="s">
        <v>228</v>
      </c>
      <c r="C25" s="80" t="s">
        <v>229</v>
      </c>
      <c r="D25" s="80" t="s">
        <v>233</v>
      </c>
      <c r="E25" s="81">
        <v>79.839</v>
      </c>
      <c r="I25" s="1"/>
      <c r="J25" s="1"/>
      <c r="K25" s="1"/>
      <c r="L25" s="1"/>
      <c r="M25" s="1"/>
      <c r="N25" s="1"/>
    </row>
    <row r="27" spans="1:14" ht="35.25" customHeight="1" thickBot="1">
      <c r="A27" s="141" t="s">
        <v>243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</row>
    <row r="28" spans="1:5" s="44" customFormat="1" ht="15" customHeight="1">
      <c r="A28" s="133" t="s">
        <v>196</v>
      </c>
      <c r="B28" s="127" t="s">
        <v>195</v>
      </c>
      <c r="C28" s="128"/>
      <c r="D28" s="128"/>
      <c r="E28" s="129"/>
    </row>
    <row r="29" spans="1:5" s="39" customFormat="1" ht="13.5">
      <c r="A29" s="133"/>
      <c r="B29" s="102" t="s">
        <v>19</v>
      </c>
      <c r="C29" s="103" t="s">
        <v>20</v>
      </c>
      <c r="D29" s="103" t="s">
        <v>21</v>
      </c>
      <c r="E29" s="104" t="s">
        <v>22</v>
      </c>
    </row>
    <row r="30" spans="1:5" ht="13.5">
      <c r="A30" s="133"/>
      <c r="B30" s="130" t="s">
        <v>231</v>
      </c>
      <c r="C30" s="131"/>
      <c r="D30" s="131"/>
      <c r="E30" s="132"/>
    </row>
    <row r="31" spans="1:5" ht="13.5">
      <c r="A31" s="36" t="s">
        <v>203</v>
      </c>
      <c r="B31" s="105" t="s">
        <v>137</v>
      </c>
      <c r="C31" s="106" t="s">
        <v>137</v>
      </c>
      <c r="D31" s="106" t="s">
        <v>232</v>
      </c>
      <c r="E31" s="107" t="s">
        <v>232</v>
      </c>
    </row>
    <row r="32" spans="1:5" ht="14.25" thickBot="1">
      <c r="A32" s="37" t="s">
        <v>204</v>
      </c>
      <c r="B32" s="108" t="s">
        <v>137</v>
      </c>
      <c r="C32" s="109" t="s">
        <v>137</v>
      </c>
      <c r="D32" s="110" t="s">
        <v>232</v>
      </c>
      <c r="E32" s="111" t="s">
        <v>232</v>
      </c>
    </row>
  </sheetData>
  <sheetProtection/>
  <mergeCells count="17">
    <mergeCell ref="A21:N21"/>
    <mergeCell ref="A1:R1"/>
    <mergeCell ref="C4:F4"/>
    <mergeCell ref="A4:A5"/>
    <mergeCell ref="B4:B5"/>
    <mergeCell ref="A3:N3"/>
    <mergeCell ref="A10:N10"/>
    <mergeCell ref="A11:A12"/>
    <mergeCell ref="B12:C12"/>
    <mergeCell ref="B28:E28"/>
    <mergeCell ref="B30:E30"/>
    <mergeCell ref="A28:A30"/>
    <mergeCell ref="A22:A23"/>
    <mergeCell ref="A24:E24"/>
    <mergeCell ref="B22:C22"/>
    <mergeCell ref="D22:E22"/>
    <mergeCell ref="A27:N27"/>
  </mergeCells>
  <printOptions/>
  <pageMargins left="0.7" right="0.7" top="0.75" bottom="0.75" header="0.3" footer="0.3"/>
  <pageSetup horizontalDpi="600" verticalDpi="600" orientation="landscape" paperSize="9" scale="62" r:id="rId3"/>
  <ignoredErrors>
    <ignoredError sqref="A6:B6 A13 B13:C13 C6:F6 B19 B25:D2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zoomScaleSheetLayoutView="115" zoomScalePageLayoutView="0" workbookViewId="0" topLeftCell="A1">
      <selection activeCell="G5" sqref="G5"/>
    </sheetView>
  </sheetViews>
  <sheetFormatPr defaultColWidth="9.140625" defaultRowHeight="15"/>
  <cols>
    <col min="1" max="1" width="6.7109375" style="61" customWidth="1"/>
    <col min="2" max="2" width="53.8515625" style="61" customWidth="1"/>
    <col min="3" max="3" width="12.28125" style="61" customWidth="1"/>
    <col min="4" max="4" width="13.28125" style="61" customWidth="1"/>
    <col min="5" max="5" width="14.140625" style="61" customWidth="1"/>
    <col min="6" max="18" width="9.140625" style="61" customWidth="1"/>
    <col min="19" max="19" width="32.7109375" style="61" customWidth="1"/>
    <col min="20" max="20" width="34.421875" style="61" customWidth="1"/>
    <col min="21" max="16384" width="9.140625" style="61" customWidth="1"/>
  </cols>
  <sheetData>
    <row r="1" spans="1:13" ht="15.75" customHeight="1">
      <c r="A1" s="156" t="s">
        <v>201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62" customFormat="1" ht="12.75">
      <c r="A2" s="163" t="s">
        <v>109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4" spans="1:5" ht="13.5">
      <c r="A4" s="157" t="s">
        <v>2</v>
      </c>
      <c r="B4" s="157" t="s">
        <v>0</v>
      </c>
      <c r="C4" s="157" t="s">
        <v>1</v>
      </c>
      <c r="D4" s="157"/>
      <c r="E4" s="157"/>
    </row>
    <row r="5" spans="1:5" ht="39">
      <c r="A5" s="157"/>
      <c r="B5" s="157"/>
      <c r="C5" s="63" t="s">
        <v>3</v>
      </c>
      <c r="D5" s="63" t="s">
        <v>4</v>
      </c>
      <c r="E5" s="63" t="s">
        <v>36</v>
      </c>
    </row>
    <row r="6" spans="1:5" ht="13.5">
      <c r="A6" s="63">
        <v>1</v>
      </c>
      <c r="B6" s="63">
        <v>2</v>
      </c>
      <c r="C6" s="63">
        <v>3</v>
      </c>
      <c r="D6" s="63">
        <v>4</v>
      </c>
      <c r="E6" s="63">
        <v>5</v>
      </c>
    </row>
    <row r="7" spans="1:5" ht="25.5" customHeight="1">
      <c r="A7" s="157">
        <v>1</v>
      </c>
      <c r="B7" s="151" t="s">
        <v>198</v>
      </c>
      <c r="C7" s="152">
        <v>0.83489</v>
      </c>
      <c r="D7" s="152">
        <v>0.48812</v>
      </c>
      <c r="E7" s="158">
        <f>(C7-D7)/C7*100</f>
        <v>41.53481296937321</v>
      </c>
    </row>
    <row r="8" spans="1:5" ht="13.5">
      <c r="A8" s="157"/>
      <c r="B8" s="151"/>
      <c r="C8" s="153"/>
      <c r="D8" s="153"/>
      <c r="E8" s="159"/>
    </row>
    <row r="9" spans="1:5" ht="13.5">
      <c r="A9" s="64" t="s">
        <v>85</v>
      </c>
      <c r="B9" s="65" t="s">
        <v>6</v>
      </c>
      <c r="C9" s="98"/>
      <c r="D9" s="98"/>
      <c r="E9" s="95" t="s">
        <v>104</v>
      </c>
    </row>
    <row r="10" spans="1:5" ht="13.5">
      <c r="A10" s="64" t="s">
        <v>86</v>
      </c>
      <c r="B10" s="65" t="s">
        <v>7</v>
      </c>
      <c r="C10" s="98"/>
      <c r="D10" s="98"/>
      <c r="E10" s="95" t="s">
        <v>104</v>
      </c>
    </row>
    <row r="11" spans="1:5" ht="13.5">
      <c r="A11" s="64" t="s">
        <v>87</v>
      </c>
      <c r="B11" s="65" t="s">
        <v>8</v>
      </c>
      <c r="C11" s="98">
        <v>0.83489</v>
      </c>
      <c r="D11" s="98">
        <v>0.48812</v>
      </c>
      <c r="E11" s="96">
        <f>(C11-D11)/C11*100</f>
        <v>41.53481296937321</v>
      </c>
    </row>
    <row r="12" spans="1:5" ht="13.5">
      <c r="A12" s="64" t="s">
        <v>88</v>
      </c>
      <c r="B12" s="65" t="s">
        <v>9</v>
      </c>
      <c r="C12" s="98">
        <v>0.83489</v>
      </c>
      <c r="D12" s="98">
        <v>0.48812</v>
      </c>
      <c r="E12" s="96">
        <f>(C12-D12)/C12*100</f>
        <v>41.53481296937321</v>
      </c>
    </row>
    <row r="13" spans="1:5" ht="25.5" customHeight="1">
      <c r="A13" s="157">
        <v>2</v>
      </c>
      <c r="B13" s="151" t="s">
        <v>197</v>
      </c>
      <c r="C13" s="152">
        <v>0.30072</v>
      </c>
      <c r="D13" s="152">
        <v>0.32929</v>
      </c>
      <c r="E13" s="158">
        <f>(C13-D13)/C13*100</f>
        <v>-9.500532056397992</v>
      </c>
    </row>
    <row r="14" spans="1:5" ht="13.5">
      <c r="A14" s="157"/>
      <c r="B14" s="151"/>
      <c r="C14" s="153"/>
      <c r="D14" s="153"/>
      <c r="E14" s="159"/>
    </row>
    <row r="15" spans="1:5" ht="13.5">
      <c r="A15" s="64" t="s">
        <v>89</v>
      </c>
      <c r="B15" s="65" t="s">
        <v>6</v>
      </c>
      <c r="C15" s="98"/>
      <c r="D15" s="98"/>
      <c r="E15" s="95" t="s">
        <v>104</v>
      </c>
    </row>
    <row r="16" spans="1:5" ht="13.5">
      <c r="A16" s="64" t="s">
        <v>90</v>
      </c>
      <c r="B16" s="65" t="s">
        <v>7</v>
      </c>
      <c r="C16" s="98"/>
      <c r="D16" s="98"/>
      <c r="E16" s="95" t="s">
        <v>104</v>
      </c>
    </row>
    <row r="17" spans="1:5" ht="13.5">
      <c r="A17" s="64" t="s">
        <v>91</v>
      </c>
      <c r="B17" s="65" t="s">
        <v>8</v>
      </c>
      <c r="C17" s="98">
        <v>0.30072</v>
      </c>
      <c r="D17" s="98">
        <v>0.32929</v>
      </c>
      <c r="E17" s="96">
        <f>(C17-D17)/C17*100</f>
        <v>-9.500532056397992</v>
      </c>
    </row>
    <row r="18" spans="1:5" ht="13.5">
      <c r="A18" s="64" t="s">
        <v>92</v>
      </c>
      <c r="B18" s="65" t="s">
        <v>9</v>
      </c>
      <c r="C18" s="98">
        <v>0.30072</v>
      </c>
      <c r="D18" s="98">
        <v>0.32929</v>
      </c>
      <c r="E18" s="96">
        <f>(C18-D18)/C18*100</f>
        <v>-9.500532056397992</v>
      </c>
    </row>
    <row r="19" spans="1:5" ht="63.75" customHeight="1">
      <c r="A19" s="164">
        <v>3</v>
      </c>
      <c r="B19" s="154" t="s">
        <v>199</v>
      </c>
      <c r="C19" s="152">
        <v>0.0428</v>
      </c>
      <c r="D19" s="152">
        <v>0</v>
      </c>
      <c r="E19" s="158">
        <v>0</v>
      </c>
    </row>
    <row r="20" spans="1:5" ht="13.5">
      <c r="A20" s="165"/>
      <c r="B20" s="155"/>
      <c r="C20" s="153"/>
      <c r="D20" s="153"/>
      <c r="E20" s="159"/>
    </row>
    <row r="21" spans="1:5" ht="13.5">
      <c r="A21" s="64" t="s">
        <v>93</v>
      </c>
      <c r="B21" s="65" t="s">
        <v>6</v>
      </c>
      <c r="C21" s="98"/>
      <c r="D21" s="98"/>
      <c r="E21" s="95" t="s">
        <v>137</v>
      </c>
    </row>
    <row r="22" spans="1:5" ht="13.5">
      <c r="A22" s="64" t="s">
        <v>94</v>
      </c>
      <c r="B22" s="65" t="s">
        <v>7</v>
      </c>
      <c r="C22" s="98"/>
      <c r="D22" s="98"/>
      <c r="E22" s="95" t="s">
        <v>137</v>
      </c>
    </row>
    <row r="23" spans="1:5" ht="13.5">
      <c r="A23" s="64" t="s">
        <v>95</v>
      </c>
      <c r="B23" s="65" t="s">
        <v>8</v>
      </c>
      <c r="C23" s="98">
        <v>0.0428</v>
      </c>
      <c r="D23" s="98">
        <v>0</v>
      </c>
      <c r="E23" s="96">
        <v>0</v>
      </c>
    </row>
    <row r="24" spans="1:5" ht="13.5">
      <c r="A24" s="64" t="s">
        <v>96</v>
      </c>
      <c r="B24" s="65" t="s">
        <v>9</v>
      </c>
      <c r="C24" s="98">
        <v>0.0428</v>
      </c>
      <c r="D24" s="98">
        <v>0</v>
      </c>
      <c r="E24" s="96">
        <v>0</v>
      </c>
    </row>
    <row r="25" spans="1:5" ht="63.75" customHeight="1">
      <c r="A25" s="157">
        <v>4</v>
      </c>
      <c r="B25" s="151" t="s">
        <v>200</v>
      </c>
      <c r="C25" s="152">
        <v>0.0105</v>
      </c>
      <c r="D25" s="152">
        <v>0</v>
      </c>
      <c r="E25" s="158">
        <v>0</v>
      </c>
    </row>
    <row r="26" spans="1:5" ht="13.5">
      <c r="A26" s="157"/>
      <c r="B26" s="151"/>
      <c r="C26" s="153"/>
      <c r="D26" s="153"/>
      <c r="E26" s="159"/>
    </row>
    <row r="27" spans="1:5" ht="13.5">
      <c r="A27" s="64" t="s">
        <v>97</v>
      </c>
      <c r="B27" s="65" t="s">
        <v>6</v>
      </c>
      <c r="C27" s="98"/>
      <c r="D27" s="98"/>
      <c r="E27" s="95" t="s">
        <v>104</v>
      </c>
    </row>
    <row r="28" spans="1:5" ht="13.5">
      <c r="A28" s="64" t="s">
        <v>98</v>
      </c>
      <c r="B28" s="65" t="s">
        <v>7</v>
      </c>
      <c r="C28" s="98"/>
      <c r="D28" s="98"/>
      <c r="E28" s="95" t="s">
        <v>104</v>
      </c>
    </row>
    <row r="29" spans="1:5" ht="13.5">
      <c r="A29" s="64" t="s">
        <v>99</v>
      </c>
      <c r="B29" s="65" t="s">
        <v>8</v>
      </c>
      <c r="C29" s="98">
        <v>0.0105</v>
      </c>
      <c r="D29" s="98">
        <v>0</v>
      </c>
      <c r="E29" s="95">
        <v>0</v>
      </c>
    </row>
    <row r="30" spans="1:5" ht="13.5">
      <c r="A30" s="64" t="s">
        <v>100</v>
      </c>
      <c r="B30" s="65" t="s">
        <v>9</v>
      </c>
      <c r="C30" s="98">
        <v>0.0105</v>
      </c>
      <c r="D30" s="98">
        <v>0</v>
      </c>
      <c r="E30" s="95">
        <v>0</v>
      </c>
    </row>
    <row r="31" spans="1:5" ht="39">
      <c r="A31" s="63">
        <v>5</v>
      </c>
      <c r="B31" s="68" t="s">
        <v>10</v>
      </c>
      <c r="C31" s="95">
        <v>0</v>
      </c>
      <c r="D31" s="95">
        <v>0</v>
      </c>
      <c r="E31" s="95">
        <v>0</v>
      </c>
    </row>
    <row r="32" spans="1:5" ht="52.5">
      <c r="A32" s="64" t="s">
        <v>101</v>
      </c>
      <c r="B32" s="68" t="s">
        <v>11</v>
      </c>
      <c r="C32" s="95">
        <v>0</v>
      </c>
      <c r="D32" s="95">
        <v>0</v>
      </c>
      <c r="E32" s="95">
        <v>0</v>
      </c>
    </row>
    <row r="34" spans="1:20" s="69" customFormat="1" ht="12.75">
      <c r="A34" s="160" t="s">
        <v>107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</row>
    <row r="35" ht="13.5">
      <c r="A35" s="70"/>
    </row>
    <row r="36" spans="1:20" ht="133.5" customHeight="1">
      <c r="A36" s="157" t="s">
        <v>2</v>
      </c>
      <c r="B36" s="157" t="s">
        <v>12</v>
      </c>
      <c r="C36" s="157" t="s">
        <v>13</v>
      </c>
      <c r="D36" s="157"/>
      <c r="E36" s="157"/>
      <c r="F36" s="157"/>
      <c r="G36" s="157" t="s">
        <v>14</v>
      </c>
      <c r="H36" s="157"/>
      <c r="I36" s="157"/>
      <c r="J36" s="157"/>
      <c r="K36" s="157" t="s">
        <v>15</v>
      </c>
      <c r="L36" s="157"/>
      <c r="M36" s="157"/>
      <c r="N36" s="157"/>
      <c r="O36" s="157" t="s">
        <v>16</v>
      </c>
      <c r="P36" s="157"/>
      <c r="Q36" s="157"/>
      <c r="R36" s="157"/>
      <c r="S36" s="157" t="s">
        <v>17</v>
      </c>
      <c r="T36" s="157" t="s">
        <v>18</v>
      </c>
    </row>
    <row r="37" spans="1:20" ht="33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</row>
    <row r="38" spans="1:20" ht="13.5">
      <c r="A38" s="157"/>
      <c r="B38" s="157"/>
      <c r="C38" s="63" t="s">
        <v>19</v>
      </c>
      <c r="D38" s="63" t="s">
        <v>20</v>
      </c>
      <c r="E38" s="63" t="s">
        <v>21</v>
      </c>
      <c r="F38" s="63" t="s">
        <v>22</v>
      </c>
      <c r="G38" s="63" t="s">
        <v>19</v>
      </c>
      <c r="H38" s="63" t="s">
        <v>20</v>
      </c>
      <c r="I38" s="63" t="s">
        <v>21</v>
      </c>
      <c r="J38" s="63" t="s">
        <v>22</v>
      </c>
      <c r="K38" s="63" t="s">
        <v>19</v>
      </c>
      <c r="L38" s="63" t="s">
        <v>20</v>
      </c>
      <c r="M38" s="63" t="s">
        <v>21</v>
      </c>
      <c r="N38" s="63" t="s">
        <v>22</v>
      </c>
      <c r="O38" s="63" t="s">
        <v>19</v>
      </c>
      <c r="P38" s="63" t="s">
        <v>20</v>
      </c>
      <c r="Q38" s="63" t="s">
        <v>21</v>
      </c>
      <c r="R38" s="63" t="s">
        <v>22</v>
      </c>
      <c r="S38" s="157"/>
      <c r="T38" s="157"/>
    </row>
    <row r="39" spans="1:20" ht="12" customHeight="1">
      <c r="A39" s="63">
        <v>1</v>
      </c>
      <c r="B39" s="63">
        <v>2</v>
      </c>
      <c r="C39" s="63">
        <v>3</v>
      </c>
      <c r="D39" s="63">
        <v>4</v>
      </c>
      <c r="E39" s="63">
        <v>5</v>
      </c>
      <c r="F39" s="63">
        <v>6</v>
      </c>
      <c r="G39" s="63">
        <v>7</v>
      </c>
      <c r="H39" s="63">
        <v>8</v>
      </c>
      <c r="I39" s="63">
        <v>9</v>
      </c>
      <c r="J39" s="63">
        <v>10</v>
      </c>
      <c r="K39" s="63">
        <v>11</v>
      </c>
      <c r="L39" s="63">
        <v>12</v>
      </c>
      <c r="M39" s="63">
        <v>13</v>
      </c>
      <c r="N39" s="63">
        <v>14</v>
      </c>
      <c r="O39" s="63">
        <v>15</v>
      </c>
      <c r="P39" s="63">
        <v>16</v>
      </c>
      <c r="Q39" s="63">
        <v>17</v>
      </c>
      <c r="R39" s="63">
        <v>18</v>
      </c>
      <c r="S39" s="63">
        <v>19</v>
      </c>
      <c r="T39" s="63">
        <v>20</v>
      </c>
    </row>
    <row r="40" spans="1:20" ht="13.5">
      <c r="A40" s="63">
        <v>1</v>
      </c>
      <c r="B40" s="71" t="s">
        <v>208</v>
      </c>
      <c r="C40" s="97"/>
      <c r="D40" s="97"/>
      <c r="E40" s="99">
        <f>D11</f>
        <v>0.48812</v>
      </c>
      <c r="F40" s="99">
        <f>D12</f>
        <v>0.48812</v>
      </c>
      <c r="G40" s="97"/>
      <c r="H40" s="97"/>
      <c r="I40" s="99">
        <f>D17</f>
        <v>0.32929</v>
      </c>
      <c r="J40" s="99">
        <f>D18</f>
        <v>0.32929</v>
      </c>
      <c r="K40" s="97"/>
      <c r="L40" s="97"/>
      <c r="M40" s="99">
        <f>D23</f>
        <v>0</v>
      </c>
      <c r="N40" s="99">
        <f>D24</f>
        <v>0</v>
      </c>
      <c r="O40" s="97"/>
      <c r="P40" s="97"/>
      <c r="Q40" s="99">
        <f>D29</f>
        <v>0</v>
      </c>
      <c r="R40" s="99">
        <f>D30</f>
        <v>0</v>
      </c>
      <c r="S40" s="97">
        <v>0</v>
      </c>
      <c r="T40" s="97" t="s">
        <v>104</v>
      </c>
    </row>
    <row r="41" spans="1:20" ht="13.5">
      <c r="A41" s="63" t="s">
        <v>23</v>
      </c>
      <c r="B41" s="71" t="s">
        <v>24</v>
      </c>
      <c r="C41" s="95"/>
      <c r="D41" s="95"/>
      <c r="E41" s="98">
        <f aca="true" t="shared" si="0" ref="E41:S41">E40</f>
        <v>0.48812</v>
      </c>
      <c r="F41" s="98">
        <f t="shared" si="0"/>
        <v>0.48812</v>
      </c>
      <c r="G41" s="95"/>
      <c r="H41" s="95"/>
      <c r="I41" s="98">
        <f t="shared" si="0"/>
        <v>0.32929</v>
      </c>
      <c r="J41" s="98">
        <f t="shared" si="0"/>
        <v>0.32929</v>
      </c>
      <c r="K41" s="95"/>
      <c r="L41" s="95"/>
      <c r="M41" s="98">
        <f t="shared" si="0"/>
        <v>0</v>
      </c>
      <c r="N41" s="98">
        <f t="shared" si="0"/>
        <v>0</v>
      </c>
      <c r="O41" s="95"/>
      <c r="P41" s="95"/>
      <c r="Q41" s="98">
        <f t="shared" si="0"/>
        <v>0</v>
      </c>
      <c r="R41" s="98">
        <f t="shared" si="0"/>
        <v>0</v>
      </c>
      <c r="S41" s="95">
        <f t="shared" si="0"/>
        <v>0</v>
      </c>
      <c r="T41" s="95" t="s">
        <v>104</v>
      </c>
    </row>
    <row r="42" ht="13.5">
      <c r="A42" s="70"/>
    </row>
    <row r="43" spans="1:20" ht="13.5">
      <c r="A43" s="160" t="s">
        <v>112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</row>
    <row r="44" spans="1:20" ht="13.5">
      <c r="A44" s="166" t="s">
        <v>113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</row>
    <row r="45" spans="1:20" ht="13.5">
      <c r="A45" s="166" t="s">
        <v>244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</row>
    <row r="46" spans="1:20" ht="13.5">
      <c r="A46" s="160" t="s">
        <v>25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</row>
  </sheetData>
  <sheetProtection/>
  <mergeCells count="38">
    <mergeCell ref="A46:T46"/>
    <mergeCell ref="A36:A38"/>
    <mergeCell ref="B36:B38"/>
    <mergeCell ref="C36:F37"/>
    <mergeCell ref="G36:J37"/>
    <mergeCell ref="K36:N37"/>
    <mergeCell ref="O36:R37"/>
    <mergeCell ref="A44:T44"/>
    <mergeCell ref="A45:T45"/>
    <mergeCell ref="S36:S38"/>
    <mergeCell ref="T36:T38"/>
    <mergeCell ref="A43:T43"/>
    <mergeCell ref="A34:T34"/>
    <mergeCell ref="A2:M2"/>
    <mergeCell ref="A25:A26"/>
    <mergeCell ref="E25:E26"/>
    <mergeCell ref="A13:A14"/>
    <mergeCell ref="E13:E14"/>
    <mergeCell ref="A19:A20"/>
    <mergeCell ref="E19:E20"/>
    <mergeCell ref="A1:M1"/>
    <mergeCell ref="A4:A5"/>
    <mergeCell ref="B4:B5"/>
    <mergeCell ref="C4:E4"/>
    <mergeCell ref="A7:A8"/>
    <mergeCell ref="B7:B8"/>
    <mergeCell ref="E7:E8"/>
    <mergeCell ref="C7:C8"/>
    <mergeCell ref="D7:D8"/>
    <mergeCell ref="B25:B26"/>
    <mergeCell ref="C13:C14"/>
    <mergeCell ref="C19:C20"/>
    <mergeCell ref="C25:C26"/>
    <mergeCell ref="D13:D14"/>
    <mergeCell ref="D19:D20"/>
    <mergeCell ref="D25:D26"/>
    <mergeCell ref="B13:B14"/>
    <mergeCell ref="B19:B20"/>
  </mergeCells>
  <printOptions/>
  <pageMargins left="0.7" right="0.7" top="0.75" bottom="0.75" header="0.3" footer="0.3"/>
  <pageSetup horizontalDpi="180" verticalDpi="18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85" zoomScaleNormal="85" zoomScaleSheetLayoutView="96" zoomScalePageLayoutView="0" workbookViewId="0" topLeftCell="A1">
      <selection activeCell="A4" sqref="A4:R4"/>
    </sheetView>
  </sheetViews>
  <sheetFormatPr defaultColWidth="9.140625" defaultRowHeight="15"/>
  <cols>
    <col min="1" max="1" width="5.00390625" style="1" customWidth="1"/>
    <col min="2" max="2" width="34.7109375" style="1" customWidth="1"/>
    <col min="3" max="4" width="9.140625" style="1" customWidth="1"/>
    <col min="5" max="5" width="18.421875" style="1" customWidth="1"/>
    <col min="6" max="6" width="11.421875" style="1" customWidth="1"/>
    <col min="7" max="7" width="17.7109375" style="1" customWidth="1"/>
    <col min="8" max="8" width="18.57421875" style="1" customWidth="1"/>
    <col min="9" max="9" width="13.7109375" style="1" customWidth="1"/>
    <col min="10" max="12" width="11.421875" style="1" customWidth="1"/>
    <col min="13" max="13" width="10.00390625" style="1" customWidth="1"/>
    <col min="14" max="14" width="12.00390625" style="1" customWidth="1"/>
    <col min="15" max="15" width="11.00390625" style="1" customWidth="1"/>
    <col min="16" max="16" width="9.8515625" style="1" bestFit="1" customWidth="1"/>
    <col min="17" max="17" width="13.00390625" style="1" customWidth="1"/>
    <col min="18" max="18" width="11.7109375" style="1" customWidth="1"/>
    <col min="19" max="19" width="12.8515625" style="1" customWidth="1"/>
    <col min="20" max="20" width="12.57421875" style="1" customWidth="1"/>
    <col min="21" max="16384" width="9.140625" style="1" customWidth="1"/>
  </cols>
  <sheetData>
    <row r="1" spans="1:13" s="3" customFormat="1" ht="15">
      <c r="A1" s="142" t="s">
        <v>108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3.5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8" ht="56.25" customHeight="1">
      <c r="A3" s="193" t="s">
        <v>110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92"/>
      <c r="O3" s="192"/>
      <c r="P3" s="192"/>
      <c r="Q3" s="192"/>
      <c r="R3" s="192"/>
    </row>
    <row r="4" spans="1:18" ht="13.5">
      <c r="A4" s="193" t="s">
        <v>111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92"/>
      <c r="O4" s="192"/>
      <c r="P4" s="192"/>
      <c r="Q4" s="192"/>
      <c r="R4" s="192"/>
    </row>
    <row r="5" spans="1:18" ht="13.5">
      <c r="A5" s="194" t="s">
        <v>234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</row>
    <row r="6" spans="1:18" ht="13.5">
      <c r="A6" s="194" t="s">
        <v>235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</row>
    <row r="7" spans="1:18" ht="13.5">
      <c r="A7" s="193" t="s">
        <v>27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92"/>
      <c r="O7" s="192"/>
      <c r="P7" s="192"/>
      <c r="Q7" s="192"/>
      <c r="R7" s="192"/>
    </row>
    <row r="8" spans="1:13" ht="13.5">
      <c r="A8" s="193" t="s">
        <v>28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ht="13.5">
      <c r="A9" s="2"/>
    </row>
    <row r="10" spans="1:18" ht="13.5">
      <c r="A10" s="177" t="s">
        <v>2</v>
      </c>
      <c r="B10" s="177" t="s">
        <v>0</v>
      </c>
      <c r="C10" s="177" t="s">
        <v>29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95" t="s">
        <v>30</v>
      </c>
    </row>
    <row r="11" spans="1:18" ht="25.5" customHeight="1">
      <c r="A11" s="177"/>
      <c r="B11" s="177"/>
      <c r="C11" s="177" t="s">
        <v>31</v>
      </c>
      <c r="D11" s="177"/>
      <c r="E11" s="177"/>
      <c r="F11" s="177" t="s">
        <v>32</v>
      </c>
      <c r="G11" s="177"/>
      <c r="H11" s="177"/>
      <c r="I11" s="177" t="s">
        <v>33</v>
      </c>
      <c r="J11" s="177"/>
      <c r="K11" s="177"/>
      <c r="L11" s="177" t="s">
        <v>34</v>
      </c>
      <c r="M11" s="177"/>
      <c r="N11" s="177"/>
      <c r="O11" s="177" t="s">
        <v>35</v>
      </c>
      <c r="P11" s="177"/>
      <c r="Q11" s="177"/>
      <c r="R11" s="196"/>
    </row>
    <row r="12" spans="1:18" ht="52.5">
      <c r="A12" s="177"/>
      <c r="B12" s="177"/>
      <c r="C12" s="73" t="s">
        <v>3</v>
      </c>
      <c r="D12" s="73" t="s">
        <v>4</v>
      </c>
      <c r="E12" s="73" t="s">
        <v>36</v>
      </c>
      <c r="F12" s="73" t="s">
        <v>3</v>
      </c>
      <c r="G12" s="73" t="s">
        <v>4</v>
      </c>
      <c r="H12" s="73" t="s">
        <v>36</v>
      </c>
      <c r="I12" s="73" t="s">
        <v>3</v>
      </c>
      <c r="J12" s="73" t="s">
        <v>4</v>
      </c>
      <c r="K12" s="73" t="s">
        <v>36</v>
      </c>
      <c r="L12" s="73" t="s">
        <v>3</v>
      </c>
      <c r="M12" s="73" t="s">
        <v>4</v>
      </c>
      <c r="N12" s="73" t="s">
        <v>36</v>
      </c>
      <c r="O12" s="73" t="s">
        <v>3</v>
      </c>
      <c r="P12" s="73" t="s">
        <v>4</v>
      </c>
      <c r="Q12" s="73" t="s">
        <v>36</v>
      </c>
      <c r="R12" s="197"/>
    </row>
    <row r="13" spans="1:18" ht="13.5">
      <c r="A13" s="73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3">
        <v>13</v>
      </c>
      <c r="N13" s="73">
        <v>14</v>
      </c>
      <c r="O13" s="73">
        <v>15</v>
      </c>
      <c r="P13" s="73">
        <v>16</v>
      </c>
      <c r="Q13" s="73">
        <v>17</v>
      </c>
      <c r="R13" s="73">
        <v>18</v>
      </c>
    </row>
    <row r="14" spans="1:22" ht="39">
      <c r="A14" s="10">
        <v>1</v>
      </c>
      <c r="B14" s="17" t="s">
        <v>37</v>
      </c>
      <c r="C14" s="13">
        <v>25</v>
      </c>
      <c r="D14" s="13">
        <v>58</v>
      </c>
      <c r="E14" s="14">
        <f>(D14-C14)/C14*100</f>
        <v>132</v>
      </c>
      <c r="F14" s="13">
        <v>10</v>
      </c>
      <c r="G14" s="13">
        <v>12</v>
      </c>
      <c r="H14" s="14">
        <f>(G14-F14)/F14*100</f>
        <v>20</v>
      </c>
      <c r="I14" s="13">
        <v>2</v>
      </c>
      <c r="J14" s="13">
        <v>4</v>
      </c>
      <c r="K14" s="14">
        <f>(J14-I14)/I14*100</f>
        <v>100</v>
      </c>
      <c r="L14" s="13">
        <v>1</v>
      </c>
      <c r="M14" s="13">
        <v>0</v>
      </c>
      <c r="N14" s="14">
        <f>(M14-L14)/L14*100</f>
        <v>-100</v>
      </c>
      <c r="O14" s="13">
        <v>0</v>
      </c>
      <c r="P14" s="13">
        <v>0</v>
      </c>
      <c r="Q14" s="13">
        <v>0</v>
      </c>
      <c r="R14" s="13">
        <f>D14+G14+J14+M14+P14</f>
        <v>74</v>
      </c>
      <c r="T14" s="15"/>
      <c r="U14" s="15"/>
      <c r="V14" s="16"/>
    </row>
    <row r="15" spans="1:22" ht="66">
      <c r="A15" s="10">
        <v>2</v>
      </c>
      <c r="B15" s="11" t="s">
        <v>38</v>
      </c>
      <c r="C15" s="13">
        <v>22</v>
      </c>
      <c r="D15" s="13">
        <v>49</v>
      </c>
      <c r="E15" s="14">
        <f>(D15-C15)/C15*100</f>
        <v>122.72727272727273</v>
      </c>
      <c r="F15" s="13">
        <v>5</v>
      </c>
      <c r="G15" s="13">
        <v>12</v>
      </c>
      <c r="H15" s="14">
        <f>(G15-F15)/F15*100</f>
        <v>140</v>
      </c>
      <c r="I15" s="13">
        <v>2</v>
      </c>
      <c r="J15" s="13">
        <v>4</v>
      </c>
      <c r="K15" s="14">
        <f>(J15-I15)/I15*100</f>
        <v>100</v>
      </c>
      <c r="L15" s="13">
        <v>1</v>
      </c>
      <c r="M15" s="13">
        <v>0</v>
      </c>
      <c r="N15" s="14">
        <f>(M15-L15)/L15*100</f>
        <v>-100</v>
      </c>
      <c r="O15" s="13">
        <v>0</v>
      </c>
      <c r="P15" s="13">
        <v>0</v>
      </c>
      <c r="Q15" s="13">
        <v>0</v>
      </c>
      <c r="R15" s="13">
        <f>D15+G15+J15+M15+P15</f>
        <v>65</v>
      </c>
      <c r="T15" s="15"/>
      <c r="U15" s="15"/>
      <c r="V15" s="16"/>
    </row>
    <row r="16" spans="1:22" ht="104.25" customHeight="1">
      <c r="A16" s="10">
        <v>3</v>
      </c>
      <c r="B16" s="11" t="s">
        <v>39</v>
      </c>
      <c r="C16" s="13">
        <v>0</v>
      </c>
      <c r="D16" s="13">
        <v>0</v>
      </c>
      <c r="E16" s="14">
        <v>0</v>
      </c>
      <c r="F16" s="13">
        <v>0</v>
      </c>
      <c r="G16" s="13">
        <v>0</v>
      </c>
      <c r="H16" s="14">
        <v>0</v>
      </c>
      <c r="I16" s="13">
        <v>0</v>
      </c>
      <c r="J16" s="13">
        <v>0</v>
      </c>
      <c r="K16" s="14">
        <v>0</v>
      </c>
      <c r="L16" s="13">
        <v>0</v>
      </c>
      <c r="M16" s="13">
        <v>0</v>
      </c>
      <c r="N16" s="14">
        <v>0</v>
      </c>
      <c r="O16" s="13">
        <v>0</v>
      </c>
      <c r="P16" s="13">
        <v>0</v>
      </c>
      <c r="Q16" s="13">
        <v>0</v>
      </c>
      <c r="R16" s="13">
        <f>D16+G16+J16+M16+P16</f>
        <v>0</v>
      </c>
      <c r="T16" s="15"/>
      <c r="U16" s="15"/>
      <c r="V16" s="16"/>
    </row>
    <row r="17" spans="1:22" ht="13.5">
      <c r="A17" s="12" t="s">
        <v>93</v>
      </c>
      <c r="B17" s="11" t="s">
        <v>40</v>
      </c>
      <c r="C17" s="13">
        <v>0</v>
      </c>
      <c r="D17" s="13">
        <v>0</v>
      </c>
      <c r="E17" s="14">
        <v>0</v>
      </c>
      <c r="F17" s="13">
        <v>0</v>
      </c>
      <c r="G17" s="13">
        <v>0</v>
      </c>
      <c r="H17" s="14">
        <v>0</v>
      </c>
      <c r="I17" s="13">
        <v>0</v>
      </c>
      <c r="J17" s="13">
        <v>0</v>
      </c>
      <c r="K17" s="14">
        <v>0</v>
      </c>
      <c r="L17" s="13">
        <v>0</v>
      </c>
      <c r="M17" s="13">
        <v>0</v>
      </c>
      <c r="N17" s="14">
        <v>0</v>
      </c>
      <c r="O17" s="13">
        <v>0</v>
      </c>
      <c r="P17" s="13">
        <v>0</v>
      </c>
      <c r="Q17" s="13">
        <v>0</v>
      </c>
      <c r="R17" s="82">
        <v>0</v>
      </c>
      <c r="T17" s="15"/>
      <c r="U17" s="15"/>
      <c r="V17" s="16"/>
    </row>
    <row r="18" spans="1:22" ht="13.5">
      <c r="A18" s="12" t="s">
        <v>94</v>
      </c>
      <c r="B18" s="11" t="s">
        <v>41</v>
      </c>
      <c r="C18" s="13">
        <v>0</v>
      </c>
      <c r="D18" s="13">
        <v>0</v>
      </c>
      <c r="E18" s="14">
        <v>0</v>
      </c>
      <c r="F18" s="13">
        <v>0</v>
      </c>
      <c r="G18" s="13">
        <v>0</v>
      </c>
      <c r="H18" s="14">
        <v>0</v>
      </c>
      <c r="I18" s="13">
        <v>0</v>
      </c>
      <c r="J18" s="13">
        <v>0</v>
      </c>
      <c r="K18" s="14">
        <v>0</v>
      </c>
      <c r="L18" s="13">
        <v>0</v>
      </c>
      <c r="M18" s="13">
        <v>0</v>
      </c>
      <c r="N18" s="14">
        <v>0</v>
      </c>
      <c r="O18" s="13">
        <v>0</v>
      </c>
      <c r="P18" s="13">
        <v>0</v>
      </c>
      <c r="Q18" s="13">
        <v>0</v>
      </c>
      <c r="R18" s="82">
        <v>0</v>
      </c>
      <c r="T18" s="15"/>
      <c r="U18" s="15"/>
      <c r="V18" s="16"/>
    </row>
    <row r="19" spans="1:22" ht="66">
      <c r="A19" s="10">
        <v>4</v>
      </c>
      <c r="B19" s="11" t="s">
        <v>42</v>
      </c>
      <c r="C19" s="67">
        <v>6</v>
      </c>
      <c r="D19" s="67">
        <v>4</v>
      </c>
      <c r="E19" s="66">
        <f>(D19-C19)/C19*100</f>
        <v>-33.33333333333333</v>
      </c>
      <c r="F19" s="67">
        <v>7</v>
      </c>
      <c r="G19" s="67">
        <v>7</v>
      </c>
      <c r="H19" s="66">
        <f>(G19-F19)/F19*100</f>
        <v>0</v>
      </c>
      <c r="I19" s="67">
        <v>4</v>
      </c>
      <c r="J19" s="67">
        <v>23</v>
      </c>
      <c r="K19" s="14">
        <f>(J19-I19)/I19*100</f>
        <v>475</v>
      </c>
      <c r="L19" s="13">
        <v>1</v>
      </c>
      <c r="M19" s="13">
        <v>0</v>
      </c>
      <c r="N19" s="14">
        <f>(M19-L19)/L19*100</f>
        <v>-100</v>
      </c>
      <c r="O19" s="13">
        <v>0</v>
      </c>
      <c r="P19" s="13">
        <v>0</v>
      </c>
      <c r="Q19" s="13">
        <v>0</v>
      </c>
      <c r="R19" s="13">
        <f>D19+G19+J19+M19+P19</f>
        <v>34</v>
      </c>
      <c r="T19" s="15"/>
      <c r="U19" s="15"/>
      <c r="V19" s="16"/>
    </row>
    <row r="20" spans="1:22" ht="52.5">
      <c r="A20" s="10">
        <v>5</v>
      </c>
      <c r="B20" s="11" t="s">
        <v>43</v>
      </c>
      <c r="C20" s="13">
        <v>20</v>
      </c>
      <c r="D20" s="13">
        <v>48</v>
      </c>
      <c r="E20" s="14">
        <f>(D20-C20)/C20*100</f>
        <v>140</v>
      </c>
      <c r="F20" s="13">
        <v>4</v>
      </c>
      <c r="G20" s="13">
        <v>11</v>
      </c>
      <c r="H20" s="14">
        <f>(G20-F20)/F20*100</f>
        <v>175</v>
      </c>
      <c r="I20" s="13">
        <v>2</v>
      </c>
      <c r="J20" s="13">
        <v>4</v>
      </c>
      <c r="K20" s="14">
        <f>(J20-I20)/J20*100</f>
        <v>50</v>
      </c>
      <c r="L20" s="13">
        <v>1</v>
      </c>
      <c r="M20" s="13">
        <v>0</v>
      </c>
      <c r="N20" s="14">
        <f>(M20-L20)/L20*100</f>
        <v>-100</v>
      </c>
      <c r="O20" s="13">
        <v>0</v>
      </c>
      <c r="P20" s="13">
        <v>0</v>
      </c>
      <c r="Q20" s="13">
        <v>0</v>
      </c>
      <c r="R20" s="13">
        <f>D20+G20+J20+M20+P20</f>
        <v>63</v>
      </c>
      <c r="T20" s="15"/>
      <c r="U20" s="15"/>
      <c r="V20" s="16"/>
    </row>
    <row r="21" spans="1:22" ht="52.5">
      <c r="A21" s="10">
        <v>6</v>
      </c>
      <c r="B21" s="11" t="s">
        <v>44</v>
      </c>
      <c r="C21" s="13">
        <v>14</v>
      </c>
      <c r="D21" s="13">
        <v>40</v>
      </c>
      <c r="E21" s="14">
        <f>(D21-C21)/C21*100</f>
        <v>185.71428571428572</v>
      </c>
      <c r="F21" s="13">
        <v>3</v>
      </c>
      <c r="G21" s="13">
        <v>6</v>
      </c>
      <c r="H21" s="14">
        <f>(G21-F21)/F21*100</f>
        <v>100</v>
      </c>
      <c r="I21" s="13">
        <v>1</v>
      </c>
      <c r="J21" s="13">
        <v>1</v>
      </c>
      <c r="K21" s="14">
        <f>(J21-I21)/J21*100</f>
        <v>0</v>
      </c>
      <c r="L21" s="13">
        <v>0</v>
      </c>
      <c r="M21" s="13">
        <v>0</v>
      </c>
      <c r="N21" s="14" t="e">
        <f>(M21-L21)/L21*100</f>
        <v>#DIV/0!</v>
      </c>
      <c r="O21" s="13">
        <v>0</v>
      </c>
      <c r="P21" s="13">
        <v>0</v>
      </c>
      <c r="Q21" s="13">
        <v>0</v>
      </c>
      <c r="R21" s="13">
        <f>D21+G21+J21+M21+P21</f>
        <v>47</v>
      </c>
      <c r="T21" s="15"/>
      <c r="U21" s="15"/>
      <c r="V21" s="16"/>
    </row>
    <row r="22" spans="1:22" ht="92.25">
      <c r="A22" s="10">
        <v>7</v>
      </c>
      <c r="B22" s="11" t="s">
        <v>45</v>
      </c>
      <c r="C22" s="13">
        <v>0</v>
      </c>
      <c r="D22" s="13">
        <v>0</v>
      </c>
      <c r="E22" s="14">
        <v>0</v>
      </c>
      <c r="F22" s="13">
        <v>0</v>
      </c>
      <c r="G22" s="13">
        <v>0</v>
      </c>
      <c r="H22" s="14">
        <v>0</v>
      </c>
      <c r="I22" s="13">
        <v>0</v>
      </c>
      <c r="J22" s="13">
        <v>0</v>
      </c>
      <c r="K22" s="14">
        <v>0</v>
      </c>
      <c r="L22" s="13">
        <v>0</v>
      </c>
      <c r="M22" s="13">
        <v>0</v>
      </c>
      <c r="N22" s="14">
        <v>0</v>
      </c>
      <c r="O22" s="13">
        <v>0</v>
      </c>
      <c r="P22" s="13">
        <v>0</v>
      </c>
      <c r="Q22" s="13">
        <v>0</v>
      </c>
      <c r="R22" s="13">
        <v>0</v>
      </c>
      <c r="T22" s="15"/>
      <c r="U22" s="15"/>
      <c r="V22" s="16"/>
    </row>
    <row r="23" spans="1:22" ht="13.5">
      <c r="A23" s="12" t="s">
        <v>102</v>
      </c>
      <c r="B23" s="11" t="s">
        <v>40</v>
      </c>
      <c r="C23" s="13">
        <v>0</v>
      </c>
      <c r="D23" s="13">
        <v>0</v>
      </c>
      <c r="E23" s="14">
        <v>0</v>
      </c>
      <c r="F23" s="13">
        <v>0</v>
      </c>
      <c r="G23" s="13">
        <v>0</v>
      </c>
      <c r="H23" s="14">
        <v>0</v>
      </c>
      <c r="I23" s="13">
        <v>0</v>
      </c>
      <c r="J23" s="13">
        <v>0</v>
      </c>
      <c r="K23" s="14">
        <v>0</v>
      </c>
      <c r="L23" s="13">
        <v>0</v>
      </c>
      <c r="M23" s="13">
        <v>0</v>
      </c>
      <c r="N23" s="14">
        <v>0</v>
      </c>
      <c r="O23" s="13">
        <v>0</v>
      </c>
      <c r="P23" s="13">
        <v>0</v>
      </c>
      <c r="Q23" s="13">
        <v>0</v>
      </c>
      <c r="R23" s="13">
        <v>0</v>
      </c>
      <c r="T23" s="15"/>
      <c r="U23" s="15"/>
      <c r="V23" s="16"/>
    </row>
    <row r="24" spans="1:22" ht="13.5">
      <c r="A24" s="12" t="s">
        <v>103</v>
      </c>
      <c r="B24" s="11" t="s">
        <v>46</v>
      </c>
      <c r="C24" s="13">
        <v>0</v>
      </c>
      <c r="D24" s="13">
        <v>0</v>
      </c>
      <c r="E24" s="14">
        <v>0</v>
      </c>
      <c r="F24" s="13">
        <v>0</v>
      </c>
      <c r="G24" s="13">
        <v>0</v>
      </c>
      <c r="H24" s="14">
        <v>0</v>
      </c>
      <c r="I24" s="13">
        <v>0</v>
      </c>
      <c r="J24" s="13">
        <v>0</v>
      </c>
      <c r="K24" s="14">
        <v>0</v>
      </c>
      <c r="L24" s="13">
        <v>0</v>
      </c>
      <c r="M24" s="13">
        <v>0</v>
      </c>
      <c r="N24" s="14">
        <v>0</v>
      </c>
      <c r="O24" s="13">
        <v>0</v>
      </c>
      <c r="P24" s="13">
        <v>0</v>
      </c>
      <c r="Q24" s="13">
        <v>0</v>
      </c>
      <c r="R24" s="13">
        <v>0</v>
      </c>
      <c r="T24" s="15"/>
      <c r="U24" s="15"/>
      <c r="V24" s="16"/>
    </row>
    <row r="25" spans="1:22" ht="52.5">
      <c r="A25" s="10">
        <v>8</v>
      </c>
      <c r="B25" s="11" t="s">
        <v>47</v>
      </c>
      <c r="C25" s="67">
        <v>52</v>
      </c>
      <c r="D25" s="67">
        <v>39</v>
      </c>
      <c r="E25" s="66">
        <f>(D25-C25)/C25*100</f>
        <v>-25</v>
      </c>
      <c r="F25" s="67">
        <v>20</v>
      </c>
      <c r="G25" s="67">
        <v>37</v>
      </c>
      <c r="H25" s="66">
        <f>(G25-F25)/F25*100</f>
        <v>85</v>
      </c>
      <c r="I25" s="67">
        <v>2</v>
      </c>
      <c r="J25" s="67">
        <v>17</v>
      </c>
      <c r="K25" s="14">
        <f>(J25-I25)/J25*100</f>
        <v>88.23529411764706</v>
      </c>
      <c r="L25" s="13">
        <v>0</v>
      </c>
      <c r="M25" s="13">
        <v>0</v>
      </c>
      <c r="N25" s="14" t="e">
        <f>(M25-L25)/L25*100</f>
        <v>#DIV/0!</v>
      </c>
      <c r="O25" s="13">
        <v>0</v>
      </c>
      <c r="P25" s="13">
        <v>0</v>
      </c>
      <c r="Q25" s="13">
        <v>0</v>
      </c>
      <c r="R25" s="13">
        <f>D25+G25+J25+M25+P25</f>
        <v>93</v>
      </c>
      <c r="T25" s="15"/>
      <c r="U25" s="15"/>
      <c r="V25" s="16"/>
    </row>
    <row r="26" ht="13.5">
      <c r="A26" s="2"/>
    </row>
    <row r="27" spans="1:18" ht="28.5" customHeight="1">
      <c r="A27" s="188" t="s">
        <v>268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</row>
    <row r="28" spans="1:20" ht="28.5" customHeight="1" thickBo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Q28" s="115"/>
      <c r="T28" s="116" t="s">
        <v>246</v>
      </c>
    </row>
    <row r="29" spans="2:20" ht="13.5">
      <c r="B29" s="189" t="s">
        <v>247</v>
      </c>
      <c r="C29" s="190"/>
      <c r="D29" s="175"/>
      <c r="E29" s="189">
        <v>15</v>
      </c>
      <c r="F29" s="175"/>
      <c r="G29" s="189">
        <v>150</v>
      </c>
      <c r="H29" s="175"/>
      <c r="I29" s="174">
        <v>320</v>
      </c>
      <c r="J29" s="175"/>
      <c r="K29" s="174">
        <v>670</v>
      </c>
      <c r="L29" s="175"/>
      <c r="M29" s="189">
        <v>15</v>
      </c>
      <c r="N29" s="175"/>
      <c r="O29" s="174">
        <v>150</v>
      </c>
      <c r="P29" s="250"/>
      <c r="Q29" s="189">
        <v>320</v>
      </c>
      <c r="R29" s="175"/>
      <c r="S29" s="174">
        <v>670</v>
      </c>
      <c r="T29" s="175"/>
    </row>
    <row r="30" spans="2:20" ht="13.5">
      <c r="B30" s="176" t="s">
        <v>48</v>
      </c>
      <c r="C30" s="177"/>
      <c r="D30" s="178"/>
      <c r="E30" s="117" t="s">
        <v>248</v>
      </c>
      <c r="F30" s="118" t="s">
        <v>249</v>
      </c>
      <c r="G30" s="117" t="s">
        <v>248</v>
      </c>
      <c r="H30" s="118" t="s">
        <v>249</v>
      </c>
      <c r="I30" s="119" t="s">
        <v>248</v>
      </c>
      <c r="J30" s="118" t="s">
        <v>249</v>
      </c>
      <c r="K30" s="119" t="s">
        <v>248</v>
      </c>
      <c r="L30" s="118" t="s">
        <v>249</v>
      </c>
      <c r="M30" s="117" t="s">
        <v>248</v>
      </c>
      <c r="N30" s="118" t="s">
        <v>249</v>
      </c>
      <c r="O30" s="119" t="s">
        <v>248</v>
      </c>
      <c r="P30" s="251" t="s">
        <v>249</v>
      </c>
      <c r="Q30" s="117" t="s">
        <v>248</v>
      </c>
      <c r="R30" s="118" t="s">
        <v>249</v>
      </c>
      <c r="S30" s="119" t="s">
        <v>248</v>
      </c>
      <c r="T30" s="118" t="s">
        <v>249</v>
      </c>
    </row>
    <row r="31" spans="2:20" ht="93" thickBot="1">
      <c r="B31" s="120" t="s">
        <v>250</v>
      </c>
      <c r="C31" s="114" t="s">
        <v>251</v>
      </c>
      <c r="D31" s="121" t="s">
        <v>252</v>
      </c>
      <c r="E31" s="120" t="s">
        <v>253</v>
      </c>
      <c r="F31" s="121" t="s">
        <v>254</v>
      </c>
      <c r="G31" s="120" t="s">
        <v>253</v>
      </c>
      <c r="H31" s="121" t="s">
        <v>253</v>
      </c>
      <c r="I31" s="122" t="s">
        <v>253</v>
      </c>
      <c r="J31" s="121" t="s">
        <v>253</v>
      </c>
      <c r="K31" s="122" t="s">
        <v>253</v>
      </c>
      <c r="L31" s="121" t="s">
        <v>253</v>
      </c>
      <c r="M31" s="253" t="s">
        <v>253</v>
      </c>
      <c r="N31" s="254" t="s">
        <v>254</v>
      </c>
      <c r="O31" s="122" t="s">
        <v>253</v>
      </c>
      <c r="P31" s="252" t="s">
        <v>253</v>
      </c>
      <c r="Q31" s="253" t="s">
        <v>253</v>
      </c>
      <c r="R31" s="254" t="s">
        <v>253</v>
      </c>
      <c r="S31" s="122" t="s">
        <v>253</v>
      </c>
      <c r="T31" s="121" t="s">
        <v>253</v>
      </c>
    </row>
    <row r="32" spans="2:20" ht="15" customHeight="1" thickBot="1">
      <c r="B32" s="179" t="s">
        <v>255</v>
      </c>
      <c r="C32" s="180"/>
      <c r="D32" s="181"/>
      <c r="E32" s="182" t="s">
        <v>256</v>
      </c>
      <c r="F32" s="183"/>
      <c r="G32" s="183"/>
      <c r="H32" s="183"/>
      <c r="I32" s="183"/>
      <c r="J32" s="183"/>
      <c r="K32" s="183"/>
      <c r="L32" s="184"/>
      <c r="M32" s="182" t="s">
        <v>257</v>
      </c>
      <c r="N32" s="183"/>
      <c r="O32" s="183"/>
      <c r="P32" s="183"/>
      <c r="Q32" s="183"/>
      <c r="R32" s="183"/>
      <c r="S32" s="183"/>
      <c r="T32" s="184"/>
    </row>
    <row r="33" spans="2:20" ht="17.25" customHeight="1">
      <c r="B33" s="185" t="s">
        <v>258</v>
      </c>
      <c r="C33" s="186" t="s">
        <v>259</v>
      </c>
      <c r="D33" s="123" t="s">
        <v>260</v>
      </c>
      <c r="E33" s="212" t="s">
        <v>104</v>
      </c>
      <c r="F33" s="220" t="s">
        <v>104</v>
      </c>
      <c r="G33" s="227" t="s">
        <v>104</v>
      </c>
      <c r="H33" s="228" t="s">
        <v>104</v>
      </c>
      <c r="I33" s="224">
        <f>(12169.17+17070.15)+26282.31*2+(5025798.62*0.3+8076.9*320)*2</f>
        <v>8266499.112000001</v>
      </c>
      <c r="J33" s="232">
        <f>(12169.17+17070.15)+26282.31*1+5025798.62*0.3+1269.69*320</f>
        <v>1969562.016</v>
      </c>
      <c r="K33" s="235">
        <f>(12169.17+17070.15)+36925.42*2+(5609413.07*0.3+6045.46*670)*2</f>
        <v>11569654.402</v>
      </c>
      <c r="L33" s="236">
        <f>(12169.17+17070.15)+36925.42*1+5609413.07*0.3+6045.46*670</f>
        <v>5799446.8610000005</v>
      </c>
      <c r="M33" s="187" t="s">
        <v>104</v>
      </c>
      <c r="N33" s="220" t="s">
        <v>104</v>
      </c>
      <c r="O33" s="227" t="s">
        <v>104</v>
      </c>
      <c r="P33" s="228" t="s">
        <v>104</v>
      </c>
      <c r="Q33" s="241">
        <f>(198.38+272.28+265.35*2+4167.79*2+8076.9*2)*320</f>
        <v>8157036.799999999</v>
      </c>
      <c r="R33" s="244">
        <f>(198.38+272.28+265.35*1+4167.79+1269.69)*320</f>
        <v>1975516.7999999998</v>
      </c>
      <c r="S33" s="247">
        <f>(198.38+272.28+265.35*2+2758.26*2+1627.37*2)*670</f>
        <v>6547655.399999999</v>
      </c>
      <c r="T33" s="213">
        <f>(198.38+272.28+265.35*1+2758.26+1627.37)*670</f>
        <v>3431498.8000000003</v>
      </c>
    </row>
    <row r="34" spans="2:20" ht="14.25" customHeight="1">
      <c r="B34" s="172"/>
      <c r="C34" s="168"/>
      <c r="D34" s="124" t="s">
        <v>261</v>
      </c>
      <c r="E34" s="214"/>
      <c r="F34" s="221"/>
      <c r="G34" s="216"/>
      <c r="H34" s="229"/>
      <c r="I34" s="225">
        <f>(12169.17+17070.15)+26282.31*2+(2026420.01*0.3+8076.9*320)*2</f>
        <v>6466871.946</v>
      </c>
      <c r="J34" s="233">
        <f>(12169.17+17070.15)+26282.31*1+2026420.01*0.3+1269.69*320</f>
        <v>1069748.4330000002</v>
      </c>
      <c r="K34" s="237">
        <f>(12169.17+17070.15)+36925.42*2+(1802025.16*0.3+6045.46*670)*2</f>
        <v>9285221.656</v>
      </c>
      <c r="L34" s="238">
        <f>(12169.17+17070.15)+36925.42*1+1802025.16*0.3+6045.46*670</f>
        <v>4657230.488</v>
      </c>
      <c r="M34" s="171"/>
      <c r="N34" s="221"/>
      <c r="O34" s="216"/>
      <c r="P34" s="229"/>
      <c r="Q34" s="126">
        <f>(198.38+272.28+265.35*2+15070.06*2+8076.9*2)*320</f>
        <v>15134489.6</v>
      </c>
      <c r="R34" s="245">
        <f>(198.38+272.28+265.35*1+15070.06+1269.69)*320</f>
        <v>5464243.199999999</v>
      </c>
      <c r="S34" s="248">
        <f>(198.38+272.28+265.35*2+11126.29*2+1627.37*2)*670</f>
        <v>17760815.6</v>
      </c>
      <c r="T34" s="215">
        <f>(198.38+272.28+265.35*1+11126.29+1627.37)*670</f>
        <v>9038078.9</v>
      </c>
    </row>
    <row r="35" spans="2:20" ht="13.5" customHeight="1">
      <c r="B35" s="172"/>
      <c r="C35" s="168" t="s">
        <v>262</v>
      </c>
      <c r="D35" s="124" t="s">
        <v>260</v>
      </c>
      <c r="E35" s="214" t="s">
        <v>104</v>
      </c>
      <c r="F35" s="221" t="s">
        <v>104</v>
      </c>
      <c r="G35" s="216">
        <f>(12169.17+17070.15)+253207.86*2</f>
        <v>535655.0399999999</v>
      </c>
      <c r="H35" s="230">
        <f>(12169.17+17070.15)+253207.86*1</f>
        <v>282447.18</v>
      </c>
      <c r="I35" s="225">
        <f>(12169.17+17070.15)+253207.86*2+5025798.62*0.3*2</f>
        <v>3551134.212</v>
      </c>
      <c r="J35" s="233">
        <f>(12169.17+17070.15)+253207.86*1+5025798.62*0.3</f>
        <v>1790186.7659999998</v>
      </c>
      <c r="K35" s="237">
        <f>(12169.17+17070.15)+253207.86*2+5609413.07*0.3*2</f>
        <v>3901302.882</v>
      </c>
      <c r="L35" s="238">
        <f>(12169.17+17070.15)+253207.86*1+5609413.07*0.3</f>
        <v>1965271.101</v>
      </c>
      <c r="M35" s="171" t="s">
        <v>104</v>
      </c>
      <c r="N35" s="221" t="s">
        <v>104</v>
      </c>
      <c r="O35" s="216">
        <f>(198.38+272.28+405.46*2)*150</f>
        <v>192237</v>
      </c>
      <c r="P35" s="229">
        <f>(198.38+272.28+405.46)*150</f>
        <v>131417.99999999997</v>
      </c>
      <c r="Q35" s="126">
        <f>(198.38+272.28+405.46*2+4167.79*2)*320</f>
        <v>3077491.2</v>
      </c>
      <c r="R35" s="245">
        <f>(198.38+272.28+405.46*1+4167.79)*320</f>
        <v>1614051.2</v>
      </c>
      <c r="S35" s="248">
        <f>(198.38+272.28+405.46*2+2758.26*2)*670</f>
        <v>4554727</v>
      </c>
      <c r="T35" s="215">
        <f>(198.38+272.28+405.46*1+2758.26)*670</f>
        <v>2435034.6</v>
      </c>
    </row>
    <row r="36" spans="2:20" ht="13.5">
      <c r="B36" s="172"/>
      <c r="C36" s="168"/>
      <c r="D36" s="124" t="s">
        <v>261</v>
      </c>
      <c r="E36" s="214"/>
      <c r="F36" s="221"/>
      <c r="G36" s="216"/>
      <c r="H36" s="230"/>
      <c r="I36" s="225">
        <f>(12169.17+17070.15)+253207.86*2+2026420.01*0.3*2</f>
        <v>1751507.046</v>
      </c>
      <c r="J36" s="233">
        <f>(12169.17+17070.15)+253207.86*1+2026420.01*0.3</f>
        <v>890373.183</v>
      </c>
      <c r="K36" s="237">
        <f>(12169.17+17070.15)+253207.86*2+1829893.78*0.3*2</f>
        <v>1633591.3079999997</v>
      </c>
      <c r="L36" s="238">
        <f>(12169.17+17070.15)+253207.86*1+1829893.78*0.3</f>
        <v>831415.314</v>
      </c>
      <c r="M36" s="171"/>
      <c r="N36" s="221"/>
      <c r="O36" s="216"/>
      <c r="P36" s="229"/>
      <c r="Q36" s="126">
        <f>(198.38+272.28+405.46*2+15070.06*2)*320</f>
        <v>10054944</v>
      </c>
      <c r="R36" s="245">
        <f>(198.38+272.28+405.46*1+15070.06)*320</f>
        <v>5102777.6</v>
      </c>
      <c r="S36" s="248">
        <f>(198.38+272.28+405.46*2+11126.29*2)*670</f>
        <v>15767887.200000003</v>
      </c>
      <c r="T36" s="215">
        <f>(198.38+272.28+405.46*1+11126.29)*670</f>
        <v>8041614.7</v>
      </c>
    </row>
    <row r="37" spans="2:20" ht="13.5" customHeight="1">
      <c r="B37" s="172"/>
      <c r="C37" s="168" t="s">
        <v>262</v>
      </c>
      <c r="D37" s="124" t="s">
        <v>263</v>
      </c>
      <c r="E37" s="216">
        <f>(12169.17+17070.15)+26282.31*2</f>
        <v>81803.94</v>
      </c>
      <c r="F37" s="221" t="s">
        <v>264</v>
      </c>
      <c r="G37" s="216">
        <f>(12169.17+17070.15)+36925.42*2</f>
        <v>103090.16</v>
      </c>
      <c r="H37" s="230">
        <f>(12169.17+17070.15)+36925.42*1</f>
        <v>66164.73999999999</v>
      </c>
      <c r="I37" s="225">
        <f>(12169.17+17070.15)+26282.31*2+1312028.96*0.3*2</f>
        <v>869021.3159999999</v>
      </c>
      <c r="J37" s="233">
        <f>(12169.17+17070.15)+26282.31*1+1312028.96*0.3</f>
        <v>449130.31799999997</v>
      </c>
      <c r="K37" s="237">
        <f>(12169.17+17070.15)+36925.42*2+5827039.56*0.3*2</f>
        <v>3599313.8959999997</v>
      </c>
      <c r="L37" s="238">
        <f>(12169.17+17070.15)+36925.42*1+5827039.56*0.3</f>
        <v>1814276.6079999998</v>
      </c>
      <c r="M37" s="170">
        <f>(198.38+272.28)*15</f>
        <v>7059.9</v>
      </c>
      <c r="N37" s="221" t="s">
        <v>264</v>
      </c>
      <c r="O37" s="216">
        <f>(198.38+272.28+265.35*2)*150</f>
        <v>150204</v>
      </c>
      <c r="P37" s="229">
        <f>(198.38+272.28+265.35)*150</f>
        <v>110401.5</v>
      </c>
      <c r="Q37" s="126">
        <f>(198.38+272.28+265.35*2+5095.34*2)*320</f>
        <v>3581452.8000000003</v>
      </c>
      <c r="R37" s="245">
        <f>(198.38+272.28+265.35*1+5095.34)*320</f>
        <v>1866032</v>
      </c>
      <c r="S37" s="248">
        <f>(198.38+272.28+265.35*2+9678.36*2)*670</f>
        <v>13639913.600000001</v>
      </c>
      <c r="T37" s="215">
        <f>(198.38+272.28+265.35*1+9678.36)*670</f>
        <v>6977627.9</v>
      </c>
    </row>
    <row r="38" spans="2:20" ht="13.5">
      <c r="B38" s="172"/>
      <c r="C38" s="168"/>
      <c r="D38" s="124" t="s">
        <v>265</v>
      </c>
      <c r="E38" s="216"/>
      <c r="F38" s="222"/>
      <c r="G38" s="216"/>
      <c r="H38" s="230"/>
      <c r="I38" s="225">
        <f>(12169.17+17070.15)+26282.31*2+807460.66*0.3*2</f>
        <v>566280.336</v>
      </c>
      <c r="J38" s="233">
        <f>(12169.17+17070.15)+26282.31*1+807460.66*0.3</f>
        <v>297759.828</v>
      </c>
      <c r="K38" s="237">
        <f>(12169.17+17070.15)+36925.42*2+1802025.16*0.3*2</f>
        <v>1184305.2559999998</v>
      </c>
      <c r="L38" s="238">
        <f>(12169.17+17070.15)+36925.42*1+1802025.16*0.3</f>
        <v>606772.288</v>
      </c>
      <c r="M38" s="170"/>
      <c r="N38" s="222"/>
      <c r="O38" s="216"/>
      <c r="P38" s="229"/>
      <c r="Q38" s="126">
        <f>(198.38+272.28+265.35*2+5755.19*2)*320</f>
        <v>4003756.8</v>
      </c>
      <c r="R38" s="245">
        <f>(198.38+272.28+265.35*1+5755.19)*320</f>
        <v>2077184</v>
      </c>
      <c r="S38" s="248">
        <f>(198.38+272.28+265.35*2+6376.34*2)*670</f>
        <v>9215206.8</v>
      </c>
      <c r="T38" s="215">
        <f>(198.38+272.28+265.35*1+6376.34)*670</f>
        <v>4765274.5</v>
      </c>
    </row>
    <row r="39" spans="2:20" ht="13.5" customHeight="1">
      <c r="B39" s="172" t="s">
        <v>266</v>
      </c>
      <c r="C39" s="168" t="s">
        <v>259</v>
      </c>
      <c r="D39" s="124" t="s">
        <v>260</v>
      </c>
      <c r="E39" s="214" t="s">
        <v>104</v>
      </c>
      <c r="F39" s="221" t="s">
        <v>104</v>
      </c>
      <c r="G39" s="216" t="s">
        <v>104</v>
      </c>
      <c r="H39" s="229" t="s">
        <v>104</v>
      </c>
      <c r="I39" s="225">
        <f>(12169.17+17070.15)+34195.27*2+(1823086.76*0.5+5939.42*320)*2</f>
        <v>5721945.42</v>
      </c>
      <c r="J39" s="233">
        <f>(12169.17+17070.15)+34195.27*1+1823086.76*0.5+1771.54*320</f>
        <v>1541870.77</v>
      </c>
      <c r="K39" s="237">
        <f>(12169.17+17070.15)+34195.27*2+(6558441.53*0.3+1468.33*670)*2</f>
        <v>6000256.978</v>
      </c>
      <c r="L39" s="238">
        <f>(12169.17+17070.15)+34195.27*1+6558441.53*0.3+1468.33*670</f>
        <v>3014748.149</v>
      </c>
      <c r="M39" s="171" t="s">
        <v>104</v>
      </c>
      <c r="N39" s="221" t="s">
        <v>104</v>
      </c>
      <c r="O39" s="216" t="s">
        <v>104</v>
      </c>
      <c r="P39" s="229" t="s">
        <v>104</v>
      </c>
      <c r="Q39" s="126">
        <f>(198.38+272.28+352.73*2+2743.9*2+5939.42*2)*320</f>
        <v>5933683.200000001</v>
      </c>
      <c r="R39" s="245">
        <f>(198.38+272.28+352.73*1+2743.9+1771.54)*320</f>
        <v>1708425.6</v>
      </c>
      <c r="S39" s="248">
        <f>(198.38+272.28+352.73*2+11317.7*2+1468.33*2)*670</f>
        <v>17921280.6</v>
      </c>
      <c r="T39" s="215">
        <f>(198.38+272.28+352.73*1+11317.7+1468.33)*670</f>
        <v>9118311.4</v>
      </c>
    </row>
    <row r="40" spans="2:20" ht="14.25" customHeight="1">
      <c r="B40" s="172"/>
      <c r="C40" s="168"/>
      <c r="D40" s="124" t="s">
        <v>261</v>
      </c>
      <c r="E40" s="214"/>
      <c r="F40" s="221"/>
      <c r="G40" s="216"/>
      <c r="H40" s="229"/>
      <c r="I40" s="225">
        <f>(12169.17+17070.15)+34195.27*2+(1371979.3*0.5+5939.42*320)*2</f>
        <v>5270837.96</v>
      </c>
      <c r="J40" s="233">
        <f>(12169.17+17070.15)+34195.27*1+1371979.3*0.5+1771.54*320</f>
        <v>1316317.04</v>
      </c>
      <c r="K40" s="237">
        <f>(12169.17+17070.15)+34195.27*2+(1746022.45*0.3+1468.33*670)*2</f>
        <v>3112805.53</v>
      </c>
      <c r="L40" s="238">
        <f>(12169.17+17070.15)+34195.27*1+1746022.45*0.3+1468.33*670</f>
        <v>1571022.4249999998</v>
      </c>
      <c r="M40" s="171"/>
      <c r="N40" s="221"/>
      <c r="O40" s="216"/>
      <c r="P40" s="229"/>
      <c r="Q40" s="126">
        <f>(198.38+272.28+352.73*2+11374.69*2+5939.42*2)*320</f>
        <v>11457388.799999999</v>
      </c>
      <c r="R40" s="245">
        <f>(198.38+272.28+352.73*1+11374.69+1771.54)*320</f>
        <v>4470278.399999999</v>
      </c>
      <c r="S40" s="248">
        <f>(198.38+272.28+352.73*2+9447.33*2+1468.33*2)*670</f>
        <v>15414984.799999999</v>
      </c>
      <c r="T40" s="215">
        <f>(198.38+272.28+352.73*1+9447.33+1468.33)*670</f>
        <v>7865163.499999999</v>
      </c>
    </row>
    <row r="41" spans="2:20" ht="13.5" customHeight="1">
      <c r="B41" s="172"/>
      <c r="C41" s="168" t="s">
        <v>262</v>
      </c>
      <c r="D41" s="124" t="s">
        <v>260</v>
      </c>
      <c r="E41" s="214" t="s">
        <v>104</v>
      </c>
      <c r="F41" s="221" t="s">
        <v>104</v>
      </c>
      <c r="G41" s="216">
        <f>(12169.17+17070.15)+249213.7*2</f>
        <v>527666.72</v>
      </c>
      <c r="H41" s="230">
        <f>(12169.17+17070.15)+249213.7*1</f>
        <v>278453.02</v>
      </c>
      <c r="I41" s="225">
        <f>(12169.17+17070.15)+249213.7*2+1823086.76*0.5*2</f>
        <v>2350753.48</v>
      </c>
      <c r="J41" s="233">
        <f>(12169.17+17070.15)+249213.7*1+1823086.76*0.5</f>
        <v>1189996.4</v>
      </c>
      <c r="K41" s="237">
        <f>(12169.17+17070.15)+249213.7*2+6558441.53*0.3*2</f>
        <v>4462731.638</v>
      </c>
      <c r="L41" s="238">
        <f>(12169.17+17070.15)+249213.7*1+6558441.53*0.3</f>
        <v>2245985.4790000003</v>
      </c>
      <c r="M41" s="171" t="s">
        <v>104</v>
      </c>
      <c r="N41" s="221" t="s">
        <v>104</v>
      </c>
      <c r="O41" s="216">
        <f>(255.14+357.9+4142.88*2)*150</f>
        <v>1334820</v>
      </c>
      <c r="P41" s="229">
        <f>(255.14+357.9+4142.88)*150</f>
        <v>713388</v>
      </c>
      <c r="Q41" s="126">
        <f>(198.38+272.28+4142.88*2+2743.9*2)*320</f>
        <v>4558150.4</v>
      </c>
      <c r="R41" s="245">
        <f>(198.38+272.28+4142.88*1+2743.9)*320</f>
        <v>2354380.8000000003</v>
      </c>
      <c r="S41" s="248">
        <f>(198.38+272.28+4142.88*2+11317.7*2)*670</f>
        <v>21032519.4</v>
      </c>
      <c r="T41" s="215">
        <f>(198.38+272.28+4142.88*1+11317.7)*670</f>
        <v>10673930.8</v>
      </c>
    </row>
    <row r="42" spans="2:20" ht="15" customHeight="1">
      <c r="B42" s="172"/>
      <c r="C42" s="168"/>
      <c r="D42" s="124" t="s">
        <v>261</v>
      </c>
      <c r="E42" s="214"/>
      <c r="F42" s="221"/>
      <c r="G42" s="216"/>
      <c r="H42" s="230"/>
      <c r="I42" s="225">
        <f>(12169.17+17070.15)+249213.7*2+1371979.3*0.5*2</f>
        <v>1899646.02</v>
      </c>
      <c r="J42" s="233">
        <f>(12169.17+17070.15)+249213.7*1+1371979.3*0.5</f>
        <v>964442.67</v>
      </c>
      <c r="K42" s="237">
        <f>(12169.17+17070.15)+249213.7*2+1746022.45*0.3*2</f>
        <v>1575280.19</v>
      </c>
      <c r="L42" s="238">
        <f>(12169.17+17070.15)+249213.7*1+1746022.45*0.3</f>
        <v>802259.755</v>
      </c>
      <c r="M42" s="171"/>
      <c r="N42" s="221"/>
      <c r="O42" s="216"/>
      <c r="P42" s="229"/>
      <c r="Q42" s="126">
        <f>(198.38+272.28+4142.88*2+11374.69*2)*320</f>
        <v>10081856</v>
      </c>
      <c r="R42" s="245">
        <f>(198.38+272.28+4142.88*1+11374.69)*320</f>
        <v>5116233.6</v>
      </c>
      <c r="S42" s="248">
        <f>(198.38+272.28+4142.88*2+9447.33*2)*670</f>
        <v>18526223.6</v>
      </c>
      <c r="T42" s="215">
        <f>(198.38+272.28+4142.88*1+9447.33)*670</f>
        <v>9420782.899999999</v>
      </c>
    </row>
    <row r="43" spans="2:20" ht="14.25" customHeight="1">
      <c r="B43" s="172"/>
      <c r="C43" s="168" t="s">
        <v>262</v>
      </c>
      <c r="D43" s="124" t="s">
        <v>263</v>
      </c>
      <c r="E43" s="216">
        <f>(12169.17+17070.15)+29391.32*2</f>
        <v>88021.95999999999</v>
      </c>
      <c r="F43" s="221" t="s">
        <v>264</v>
      </c>
      <c r="G43" s="216">
        <f>(12169.17+17070.15)+34195.27*2</f>
        <v>97629.85999999999</v>
      </c>
      <c r="H43" s="230">
        <f>(12169.17+17070.15)+34195.27*1</f>
        <v>63434.59</v>
      </c>
      <c r="I43" s="225">
        <f>(12169.17+17070.15)+34195.27*2+5531219.13*0.5*2</f>
        <v>5628848.99</v>
      </c>
      <c r="J43" s="233">
        <f>(12169.17+17070.15)+34195.27*1+5531219.13*0.5</f>
        <v>2829044.155</v>
      </c>
      <c r="K43" s="237">
        <f>(12169.17+17070.15)+34195.27*2+819699.88*0.3*2</f>
        <v>589449.788</v>
      </c>
      <c r="L43" s="238">
        <f>(12169.17+17070.15)+34195.27*1+819699.88*0.3</f>
        <v>309344.554</v>
      </c>
      <c r="M43" s="170">
        <f>(255.14+357.9)*15</f>
        <v>9195.599999999999</v>
      </c>
      <c r="N43" s="221" t="s">
        <v>264</v>
      </c>
      <c r="O43" s="216">
        <f>(255.14+357.9+352.73*2)*150</f>
        <v>197775</v>
      </c>
      <c r="P43" s="229">
        <f>(255.14+357.9+352.73)*150</f>
        <v>144865.5</v>
      </c>
      <c r="Q43" s="126">
        <f>(198.38+272.28+352.73*2+12611.18*2)*320</f>
        <v>8447513.6</v>
      </c>
      <c r="R43" s="245">
        <f>(198.38+272.28+352.73*1+12611.18)*320</f>
        <v>4299062.4</v>
      </c>
      <c r="S43" s="248">
        <f>(198.38+272.28+352.73*2+28634.85*2)*670</f>
        <v>39158699.4</v>
      </c>
      <c r="T43" s="215">
        <f>(198.38+272.28+352.73*1+28634.85)*670</f>
        <v>19737020.799999997</v>
      </c>
    </row>
    <row r="44" spans="2:20" ht="15" customHeight="1" thickBot="1">
      <c r="B44" s="173"/>
      <c r="C44" s="169"/>
      <c r="D44" s="125" t="s">
        <v>265</v>
      </c>
      <c r="E44" s="217"/>
      <c r="F44" s="223"/>
      <c r="G44" s="217"/>
      <c r="H44" s="231"/>
      <c r="I44" s="226">
        <f>(12169.17+17070.15)+34195.27*2+1540630.92*0.5*2</f>
        <v>1638260.7799999998</v>
      </c>
      <c r="J44" s="234">
        <f>(12169.17+17070.15)+34195.27*1+1540630.92*0.5</f>
        <v>833750.0499999999</v>
      </c>
      <c r="K44" s="239">
        <f>(12169.17+17070.15)+34195.27*2+1397988.86*0.3*2</f>
        <v>936423.176</v>
      </c>
      <c r="L44" s="240">
        <f>(12169.17+17070.15)+34195.27*1+1397988.86*0.3</f>
        <v>482831.248</v>
      </c>
      <c r="M44" s="218"/>
      <c r="N44" s="223"/>
      <c r="O44" s="217"/>
      <c r="P44" s="243"/>
      <c r="Q44" s="242">
        <f>(198.38+272.28+352.73*2+9049.67*2)*320</f>
        <v>6168147.199999999</v>
      </c>
      <c r="R44" s="246">
        <f>(198.38+272.28+352.73*1+9049.67)*320</f>
        <v>3159379.1999999997</v>
      </c>
      <c r="S44" s="249">
        <f>(198.38+272.28+352.73*2+9346.07*2)*670</f>
        <v>13311734.2</v>
      </c>
      <c r="T44" s="219">
        <f>(198.38+272.28+352.73*1+9346.07)*670</f>
        <v>6813538.199999999</v>
      </c>
    </row>
    <row r="46" spans="2:20" ht="16.5" customHeight="1">
      <c r="B46" s="167" t="s">
        <v>267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</sheetData>
  <sheetProtection/>
  <mergeCells count="88">
    <mergeCell ref="A4:R4"/>
    <mergeCell ref="A7:R7"/>
    <mergeCell ref="A5:R5"/>
    <mergeCell ref="A6:R6"/>
    <mergeCell ref="L11:N11"/>
    <mergeCell ref="R10:R12"/>
    <mergeCell ref="O11:Q11"/>
    <mergeCell ref="A1:M1"/>
    <mergeCell ref="A2:M2"/>
    <mergeCell ref="A8:M8"/>
    <mergeCell ref="A10:A12"/>
    <mergeCell ref="B10:B12"/>
    <mergeCell ref="C10:Q10"/>
    <mergeCell ref="C11:E11"/>
    <mergeCell ref="F11:H11"/>
    <mergeCell ref="I11:K11"/>
    <mergeCell ref="A3:R3"/>
    <mergeCell ref="A27:R27"/>
    <mergeCell ref="B29:D29"/>
    <mergeCell ref="E29:F29"/>
    <mergeCell ref="G29:H29"/>
    <mergeCell ref="I29:J29"/>
    <mergeCell ref="K29:L29"/>
    <mergeCell ref="M29:N29"/>
    <mergeCell ref="O29:P29"/>
    <mergeCell ref="Q29:R29"/>
    <mergeCell ref="S29:T29"/>
    <mergeCell ref="B30:D30"/>
    <mergeCell ref="B32:D32"/>
    <mergeCell ref="E32:L32"/>
    <mergeCell ref="M32:T32"/>
    <mergeCell ref="B33:B38"/>
    <mergeCell ref="C33:C34"/>
    <mergeCell ref="E33:E34"/>
    <mergeCell ref="F33:F34"/>
    <mergeCell ref="G33:G34"/>
    <mergeCell ref="H33:H34"/>
    <mergeCell ref="M33:M34"/>
    <mergeCell ref="N33:N34"/>
    <mergeCell ref="O33:O34"/>
    <mergeCell ref="P33:P34"/>
    <mergeCell ref="C35:C36"/>
    <mergeCell ref="E35:E36"/>
    <mergeCell ref="F35:F36"/>
    <mergeCell ref="G35:G36"/>
    <mergeCell ref="H35:H36"/>
    <mergeCell ref="C37:C38"/>
    <mergeCell ref="E37:E38"/>
    <mergeCell ref="F37:F38"/>
    <mergeCell ref="G37:G38"/>
    <mergeCell ref="H37:H38"/>
    <mergeCell ref="M37:M38"/>
    <mergeCell ref="H39:H40"/>
    <mergeCell ref="M39:M40"/>
    <mergeCell ref="M35:M36"/>
    <mergeCell ref="N35:N36"/>
    <mergeCell ref="O35:O36"/>
    <mergeCell ref="P35:P36"/>
    <mergeCell ref="M41:M42"/>
    <mergeCell ref="N41:N42"/>
    <mergeCell ref="N37:N38"/>
    <mergeCell ref="O37:O38"/>
    <mergeCell ref="P37:P38"/>
    <mergeCell ref="B39:B44"/>
    <mergeCell ref="C39:C40"/>
    <mergeCell ref="E39:E40"/>
    <mergeCell ref="F39:F40"/>
    <mergeCell ref="G39:G40"/>
    <mergeCell ref="N43:N44"/>
    <mergeCell ref="O43:O44"/>
    <mergeCell ref="N39:N40"/>
    <mergeCell ref="O39:O40"/>
    <mergeCell ref="P39:P40"/>
    <mergeCell ref="C41:C42"/>
    <mergeCell ref="E41:E42"/>
    <mergeCell ref="F41:F42"/>
    <mergeCell ref="G41:G42"/>
    <mergeCell ref="H41:H42"/>
    <mergeCell ref="P43:P44"/>
    <mergeCell ref="B46:T46"/>
    <mergeCell ref="O41:O42"/>
    <mergeCell ref="P41:P42"/>
    <mergeCell ref="C43:C44"/>
    <mergeCell ref="E43:E44"/>
    <mergeCell ref="F43:F44"/>
    <mergeCell ref="G43:G44"/>
    <mergeCell ref="H43:H44"/>
    <mergeCell ref="M43:M44"/>
  </mergeCells>
  <printOptions/>
  <pageMargins left="0.7" right="0.7" top="0.75" bottom="0.75" header="0.3" footer="0.3"/>
  <pageSetup horizontalDpi="180" verticalDpi="18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4"/>
  <sheetViews>
    <sheetView zoomScale="93" zoomScaleNormal="93" zoomScaleSheetLayoutView="85" zoomScalePageLayoutView="0" workbookViewId="0" topLeftCell="A52">
      <selection activeCell="E18" sqref="E18"/>
    </sheetView>
  </sheetViews>
  <sheetFormatPr defaultColWidth="12.28125" defaultRowHeight="15"/>
  <cols>
    <col min="1" max="1" width="5.8515625" style="6" customWidth="1"/>
    <col min="2" max="2" width="27.00390625" style="5" customWidth="1"/>
    <col min="3" max="3" width="17.28125" style="5" customWidth="1"/>
    <col min="4" max="4" width="13.57421875" style="5" customWidth="1"/>
    <col min="5" max="5" width="16.140625" style="30" customWidth="1"/>
    <col min="6" max="6" width="9.421875" style="5" customWidth="1"/>
    <col min="7" max="7" width="17.00390625" style="5" customWidth="1"/>
    <col min="8" max="8" width="13.57421875" style="5" customWidth="1"/>
    <col min="9" max="9" width="10.00390625" style="5" customWidth="1"/>
    <col min="10" max="10" width="12.140625" style="5" customWidth="1"/>
    <col min="11" max="11" width="14.140625" style="5" customWidth="1"/>
    <col min="12" max="12" width="9.140625" style="5" customWidth="1"/>
    <col min="13" max="13" width="9.57421875" style="5" customWidth="1"/>
    <col min="14" max="14" width="10.7109375" style="5" customWidth="1"/>
    <col min="15" max="16384" width="12.28125" style="5" customWidth="1"/>
  </cols>
  <sheetData>
    <row r="1" spans="1:17" ht="13.5">
      <c r="A1" s="205" t="s">
        <v>202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3" spans="1:17" ht="51" customHeight="1">
      <c r="A3" s="141" t="s">
        <v>114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 s="4" customFormat="1" ht="13.5">
      <c r="A4" s="199" t="s">
        <v>116</v>
      </c>
      <c r="B4" s="198" t="s">
        <v>49</v>
      </c>
      <c r="C4" s="198" t="s">
        <v>50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7" s="4" customFormat="1" ht="36" customHeight="1">
      <c r="A5" s="199"/>
      <c r="B5" s="198"/>
      <c r="C5" s="206" t="s">
        <v>51</v>
      </c>
      <c r="D5" s="206"/>
      <c r="E5" s="206"/>
      <c r="F5" s="206" t="s">
        <v>226</v>
      </c>
      <c r="G5" s="206"/>
      <c r="H5" s="206"/>
      <c r="I5" s="206" t="s">
        <v>52</v>
      </c>
      <c r="J5" s="206"/>
      <c r="K5" s="206"/>
      <c r="L5" s="206" t="s">
        <v>53</v>
      </c>
      <c r="M5" s="206"/>
      <c r="N5" s="206"/>
      <c r="O5" s="206" t="s">
        <v>54</v>
      </c>
      <c r="P5" s="206"/>
      <c r="Q5" s="206"/>
    </row>
    <row r="6" spans="1:17" s="4" customFormat="1" ht="51.75" customHeight="1">
      <c r="A6" s="199"/>
      <c r="B6" s="198"/>
      <c r="C6" s="75" t="s">
        <v>3</v>
      </c>
      <c r="D6" s="75" t="s">
        <v>115</v>
      </c>
      <c r="E6" s="58" t="s">
        <v>5</v>
      </c>
      <c r="F6" s="75" t="s">
        <v>3</v>
      </c>
      <c r="G6" s="75" t="s">
        <v>115</v>
      </c>
      <c r="H6" s="75" t="s">
        <v>5</v>
      </c>
      <c r="I6" s="75" t="s">
        <v>3</v>
      </c>
      <c r="J6" s="75" t="s">
        <v>115</v>
      </c>
      <c r="K6" s="75" t="s">
        <v>5</v>
      </c>
      <c r="L6" s="75" t="s">
        <v>3</v>
      </c>
      <c r="M6" s="75" t="s">
        <v>115</v>
      </c>
      <c r="N6" s="75" t="s">
        <v>5</v>
      </c>
      <c r="O6" s="75" t="s">
        <v>3</v>
      </c>
      <c r="P6" s="75" t="s">
        <v>115</v>
      </c>
      <c r="Q6" s="75" t="s">
        <v>5</v>
      </c>
    </row>
    <row r="7" spans="1:17" s="4" customFormat="1" ht="13.5">
      <c r="A7" s="76">
        <v>1</v>
      </c>
      <c r="B7" s="75">
        <v>2</v>
      </c>
      <c r="C7" s="75">
        <v>3</v>
      </c>
      <c r="D7" s="75">
        <v>4</v>
      </c>
      <c r="E7" s="59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  <c r="N7" s="75">
        <v>14</v>
      </c>
      <c r="O7" s="75">
        <v>15</v>
      </c>
      <c r="P7" s="75">
        <v>16</v>
      </c>
      <c r="Q7" s="75">
        <v>17</v>
      </c>
    </row>
    <row r="8" spans="1:17" s="25" customFormat="1" ht="13.5">
      <c r="A8" s="20">
        <v>1</v>
      </c>
      <c r="B8" s="24" t="s">
        <v>213</v>
      </c>
      <c r="C8" s="22">
        <f>SUM(C9:C14)</f>
        <v>265</v>
      </c>
      <c r="D8" s="22">
        <f>SUM(D9:D14)</f>
        <v>90</v>
      </c>
      <c r="E8" s="84">
        <f>(D8-C8)/C8*100</f>
        <v>-66.0377358490566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</row>
    <row r="9" spans="1:17" ht="27">
      <c r="A9" s="78" t="s">
        <v>117</v>
      </c>
      <c r="B9" s="7" t="s">
        <v>55</v>
      </c>
      <c r="C9" s="101">
        <v>0</v>
      </c>
      <c r="D9" s="93">
        <v>2</v>
      </c>
      <c r="E9" s="26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</row>
    <row r="10" spans="1:17" ht="41.25">
      <c r="A10" s="78" t="s">
        <v>118</v>
      </c>
      <c r="B10" s="7" t="s">
        <v>56</v>
      </c>
      <c r="C10" s="101">
        <v>261</v>
      </c>
      <c r="D10" s="77">
        <v>74</v>
      </c>
      <c r="E10" s="84">
        <f>(D10-C10)/C10*100</f>
        <v>-71.64750957854406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</row>
    <row r="11" spans="1:17" ht="27">
      <c r="A11" s="78" t="s">
        <v>119</v>
      </c>
      <c r="B11" s="7" t="s">
        <v>57</v>
      </c>
      <c r="C11" s="101">
        <v>4</v>
      </c>
      <c r="D11" s="77">
        <v>12</v>
      </c>
      <c r="E11" s="26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</row>
    <row r="12" spans="1:17" ht="13.5">
      <c r="A12" s="78" t="s">
        <v>120</v>
      </c>
      <c r="B12" s="7" t="s">
        <v>58</v>
      </c>
      <c r="C12" s="101">
        <v>0</v>
      </c>
      <c r="D12" s="93">
        <v>0</v>
      </c>
      <c r="E12" s="26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</row>
    <row r="13" spans="1:17" ht="27">
      <c r="A13" s="78" t="s">
        <v>121</v>
      </c>
      <c r="B13" s="7" t="s">
        <v>59</v>
      </c>
      <c r="C13" s="101">
        <v>0</v>
      </c>
      <c r="D13" s="93">
        <v>2</v>
      </c>
      <c r="E13" s="26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</row>
    <row r="14" spans="1:17" ht="13.5">
      <c r="A14" s="78" t="s">
        <v>122</v>
      </c>
      <c r="B14" s="7" t="s">
        <v>60</v>
      </c>
      <c r="C14" s="101">
        <v>0</v>
      </c>
      <c r="D14" s="93">
        <v>0</v>
      </c>
      <c r="E14" s="26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1:17" s="23" customFormat="1" ht="17.25" customHeight="1">
      <c r="A15" s="20" t="s">
        <v>123</v>
      </c>
      <c r="B15" s="21" t="s">
        <v>214</v>
      </c>
      <c r="C15" s="22">
        <f>SUM(C16:C23)</f>
        <v>2</v>
      </c>
      <c r="D15" s="22">
        <f>SUM(D16:D23)</f>
        <v>2</v>
      </c>
      <c r="E15" s="84">
        <f>(D15-C15)/C15*100</f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>SUM(K16:K23)</f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</row>
    <row r="16" spans="1:17" ht="41.25">
      <c r="A16" s="78" t="s">
        <v>124</v>
      </c>
      <c r="B16" s="7" t="s">
        <v>61</v>
      </c>
      <c r="C16" s="101">
        <v>0</v>
      </c>
      <c r="D16" s="77">
        <v>0</v>
      </c>
      <c r="E16" s="26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1:17" ht="27">
      <c r="A17" s="78" t="s">
        <v>125</v>
      </c>
      <c r="B17" s="7" t="s">
        <v>62</v>
      </c>
      <c r="C17" s="101">
        <v>0</v>
      </c>
      <c r="D17" s="77">
        <v>0</v>
      </c>
      <c r="E17" s="84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</row>
    <row r="18" spans="1:17" ht="27">
      <c r="A18" s="78" t="s">
        <v>126</v>
      </c>
      <c r="B18" s="7" t="s">
        <v>63</v>
      </c>
      <c r="C18" s="101">
        <v>0</v>
      </c>
      <c r="D18" s="77">
        <v>1</v>
      </c>
      <c r="E18" s="26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1:17" ht="41.25">
      <c r="A19" s="78" t="s">
        <v>127</v>
      </c>
      <c r="B19" s="7" t="s">
        <v>56</v>
      </c>
      <c r="C19" s="83">
        <v>2</v>
      </c>
      <c r="D19" s="83">
        <v>0</v>
      </c>
      <c r="E19" s="84"/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1:17" ht="27">
      <c r="A20" s="78" t="s">
        <v>128</v>
      </c>
      <c r="B20" s="7" t="s">
        <v>57</v>
      </c>
      <c r="C20" s="101">
        <v>0</v>
      </c>
      <c r="D20" s="77">
        <v>1</v>
      </c>
      <c r="E20" s="26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1:17" ht="13.5">
      <c r="A21" s="78" t="s">
        <v>129</v>
      </c>
      <c r="B21" s="7" t="s">
        <v>58</v>
      </c>
      <c r="C21" s="101">
        <v>0</v>
      </c>
      <c r="D21" s="77">
        <v>0</v>
      </c>
      <c r="E21" s="26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1:17" ht="41.25">
      <c r="A22" s="78" t="s">
        <v>130</v>
      </c>
      <c r="B22" s="7" t="s">
        <v>64</v>
      </c>
      <c r="C22" s="101">
        <v>0</v>
      </c>
      <c r="D22" s="77">
        <v>0</v>
      </c>
      <c r="E22" s="26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1:17" ht="13.5">
      <c r="A23" s="78" t="s">
        <v>131</v>
      </c>
      <c r="B23" s="7" t="s">
        <v>60</v>
      </c>
      <c r="C23" s="101">
        <v>0</v>
      </c>
      <c r="D23" s="77">
        <v>0</v>
      </c>
      <c r="E23" s="26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1:17" s="23" customFormat="1" ht="21" customHeight="1">
      <c r="A24" s="20" t="s">
        <v>132</v>
      </c>
      <c r="B24" s="21" t="s">
        <v>212</v>
      </c>
      <c r="C24" s="22">
        <f>SUM(C25:C28)</f>
        <v>64</v>
      </c>
      <c r="D24" s="22">
        <f>SUM(D25:D28)</f>
        <v>86</v>
      </c>
      <c r="E24" s="84">
        <f>(D24-C24)/C24*100</f>
        <v>34.375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</row>
    <row r="25" spans="1:17" ht="27">
      <c r="A25" s="78" t="s">
        <v>133</v>
      </c>
      <c r="B25" s="7" t="s">
        <v>26</v>
      </c>
      <c r="C25" s="101">
        <v>38</v>
      </c>
      <c r="D25" s="77">
        <v>74</v>
      </c>
      <c r="E25" s="84">
        <f>(D25-C25)/C25*100</f>
        <v>94.73684210526315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1:17" ht="41.25">
      <c r="A26" s="78" t="s">
        <v>134</v>
      </c>
      <c r="B26" s="7" t="s">
        <v>65</v>
      </c>
      <c r="C26" s="101">
        <v>0</v>
      </c>
      <c r="D26" s="77">
        <v>0</v>
      </c>
      <c r="E26" s="26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1:17" ht="27">
      <c r="A27" s="78" t="s">
        <v>135</v>
      </c>
      <c r="B27" s="7" t="s">
        <v>66</v>
      </c>
      <c r="C27" s="100">
        <v>26</v>
      </c>
      <c r="D27" s="100">
        <v>12</v>
      </c>
      <c r="E27" s="84">
        <f>(D27-C27)/C27*100</f>
        <v>-53.84615384615385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1:17" ht="13.5">
      <c r="A28" s="78" t="s">
        <v>136</v>
      </c>
      <c r="B28" s="7" t="s">
        <v>60</v>
      </c>
      <c r="C28" s="101">
        <v>0</v>
      </c>
      <c r="D28" s="77">
        <v>0</v>
      </c>
      <c r="E28" s="26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30" spans="1:17" ht="13.5">
      <c r="A30" s="141" t="s">
        <v>67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1" s="4" customFormat="1" ht="159" customHeight="1">
      <c r="A31" s="76" t="s">
        <v>116</v>
      </c>
      <c r="B31" s="75" t="s">
        <v>68</v>
      </c>
      <c r="C31" s="75" t="s">
        <v>69</v>
      </c>
      <c r="D31" s="75" t="s">
        <v>70</v>
      </c>
      <c r="E31" s="58" t="s">
        <v>71</v>
      </c>
      <c r="F31" s="75" t="s">
        <v>72</v>
      </c>
      <c r="G31" s="75" t="s">
        <v>73</v>
      </c>
      <c r="H31" s="75" t="s">
        <v>74</v>
      </c>
      <c r="I31" s="75" t="s">
        <v>75</v>
      </c>
      <c r="J31" s="75" t="s">
        <v>76</v>
      </c>
      <c r="K31" s="75" t="s">
        <v>77</v>
      </c>
    </row>
    <row r="32" spans="1:11" ht="13.5">
      <c r="A32" s="75">
        <v>1</v>
      </c>
      <c r="B32" s="75">
        <v>2</v>
      </c>
      <c r="C32" s="75">
        <v>3</v>
      </c>
      <c r="D32" s="75">
        <v>4</v>
      </c>
      <c r="E32" s="58">
        <v>5</v>
      </c>
      <c r="F32" s="75">
        <v>6</v>
      </c>
      <c r="G32" s="75">
        <v>7</v>
      </c>
      <c r="H32" s="75">
        <v>8</v>
      </c>
      <c r="I32" s="75">
        <v>9</v>
      </c>
      <c r="J32" s="75">
        <v>10</v>
      </c>
      <c r="K32" s="75">
        <v>11</v>
      </c>
    </row>
    <row r="33" spans="1:11" ht="98.25" customHeight="1">
      <c r="A33" s="78" t="s">
        <v>138</v>
      </c>
      <c r="B33" s="200" t="s">
        <v>140</v>
      </c>
      <c r="C33" s="7" t="s">
        <v>182</v>
      </c>
      <c r="D33" s="7" t="s">
        <v>245</v>
      </c>
      <c r="E33" s="60" t="s">
        <v>236</v>
      </c>
      <c r="F33" s="77" t="s">
        <v>225</v>
      </c>
      <c r="G33" s="200" t="s">
        <v>105</v>
      </c>
      <c r="H33" s="77">
        <v>106</v>
      </c>
      <c r="I33" s="77">
        <v>15</v>
      </c>
      <c r="J33" s="77">
        <v>5</v>
      </c>
      <c r="K33" s="77">
        <v>0</v>
      </c>
    </row>
    <row r="34" spans="1:11" ht="183.75" customHeight="1">
      <c r="A34" s="78" t="s">
        <v>123</v>
      </c>
      <c r="B34" s="201"/>
      <c r="C34" s="7" t="s">
        <v>183</v>
      </c>
      <c r="D34" s="202" t="s">
        <v>184</v>
      </c>
      <c r="E34" s="203"/>
      <c r="F34" s="77" t="s">
        <v>106</v>
      </c>
      <c r="G34" s="201"/>
      <c r="H34" s="77">
        <v>1</v>
      </c>
      <c r="I34" s="77">
        <v>15</v>
      </c>
      <c r="J34" s="77">
        <v>0</v>
      </c>
      <c r="K34" s="77">
        <v>0</v>
      </c>
    </row>
    <row r="36" spans="1:17" ht="13.5">
      <c r="A36" s="141" t="s">
        <v>141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8" spans="1:4" ht="13.5">
      <c r="A38" s="78" t="s">
        <v>116</v>
      </c>
      <c r="B38" s="77" t="s">
        <v>78</v>
      </c>
      <c r="C38" s="7"/>
      <c r="D38" s="7"/>
    </row>
    <row r="39" spans="1:4" ht="110.25">
      <c r="A39" s="78" t="s">
        <v>138</v>
      </c>
      <c r="B39" s="7" t="s">
        <v>142</v>
      </c>
      <c r="C39" s="7" t="s">
        <v>79</v>
      </c>
      <c r="D39" s="77" t="s">
        <v>227</v>
      </c>
    </row>
    <row r="40" spans="1:4" ht="54.75">
      <c r="A40" s="78" t="s">
        <v>123</v>
      </c>
      <c r="B40" s="7" t="s">
        <v>143</v>
      </c>
      <c r="C40" s="7" t="s">
        <v>80</v>
      </c>
      <c r="D40" s="77">
        <v>53</v>
      </c>
    </row>
    <row r="41" spans="1:4" ht="54.75">
      <c r="A41" s="78" t="s">
        <v>124</v>
      </c>
      <c r="B41" s="7" t="s">
        <v>81</v>
      </c>
      <c r="C41" s="7" t="s">
        <v>80</v>
      </c>
      <c r="D41" s="77">
        <v>53</v>
      </c>
    </row>
    <row r="42" spans="1:4" ht="69">
      <c r="A42" s="78" t="s">
        <v>127</v>
      </c>
      <c r="B42" s="7" t="s">
        <v>82</v>
      </c>
      <c r="C42" s="7" t="s">
        <v>80</v>
      </c>
      <c r="D42" s="77">
        <v>0</v>
      </c>
    </row>
    <row r="43" spans="1:4" ht="82.5">
      <c r="A43" s="78" t="s">
        <v>132</v>
      </c>
      <c r="B43" s="7" t="s">
        <v>83</v>
      </c>
      <c r="C43" s="7" t="s">
        <v>144</v>
      </c>
      <c r="D43" s="77">
        <v>0.5</v>
      </c>
    </row>
    <row r="44" spans="1:4" ht="69">
      <c r="A44" s="78" t="s">
        <v>139</v>
      </c>
      <c r="B44" s="7" t="s">
        <v>84</v>
      </c>
      <c r="C44" s="7" t="s">
        <v>144</v>
      </c>
      <c r="D44" s="77">
        <v>4</v>
      </c>
    </row>
    <row r="46" spans="1:17" s="72" customFormat="1" ht="36.75" customHeight="1">
      <c r="A46" s="204" t="s">
        <v>145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74"/>
      <c r="Q46" s="74"/>
    </row>
    <row r="47" spans="1:17" ht="15" customHeight="1">
      <c r="A47" s="204" t="s">
        <v>146</v>
      </c>
      <c r="B47" s="204"/>
      <c r="C47" s="204"/>
      <c r="D47" s="204"/>
      <c r="E47" s="204"/>
      <c r="F47" s="204"/>
      <c r="G47" s="204"/>
      <c r="H47" s="204"/>
      <c r="I47" s="204"/>
      <c r="J47" s="204"/>
      <c r="K47" s="18"/>
      <c r="L47" s="18"/>
      <c r="M47" s="18"/>
      <c r="N47" s="18"/>
      <c r="O47" s="18"/>
      <c r="P47" s="18"/>
      <c r="Q47" s="18"/>
    </row>
    <row r="48" spans="1:17" ht="13.5">
      <c r="A48" s="19"/>
      <c r="B48" s="18"/>
      <c r="C48" s="18"/>
      <c r="D48" s="18"/>
      <c r="E48" s="31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9.5" customHeight="1">
      <c r="A49" s="204" t="s">
        <v>211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18"/>
      <c r="Q49" s="18"/>
    </row>
    <row r="50" spans="1:17" ht="34.5" customHeight="1">
      <c r="A50" s="204" t="s">
        <v>210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18"/>
      <c r="Q50" s="18"/>
    </row>
    <row r="51" spans="1:17" ht="13.5">
      <c r="A51" s="208" t="s">
        <v>147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18"/>
      <c r="Q51" s="18"/>
    </row>
    <row r="52" spans="1:17" ht="13.5">
      <c r="A52" s="19"/>
      <c r="B52" s="18"/>
      <c r="C52" s="18"/>
      <c r="D52" s="18"/>
      <c r="E52" s="3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36" customHeight="1">
      <c r="A53" s="207" t="s">
        <v>148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18"/>
      <c r="Q53" s="18"/>
    </row>
    <row r="54" spans="1:17" ht="13.5">
      <c r="A54" s="209" t="s">
        <v>149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18"/>
      <c r="Q54" s="18"/>
    </row>
    <row r="55" spans="1:17" ht="13.5">
      <c r="A55" s="19"/>
      <c r="B55" s="18"/>
      <c r="C55" s="18"/>
      <c r="D55" s="18"/>
      <c r="E55" s="31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3.5">
      <c r="A56" s="207" t="s">
        <v>150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18"/>
      <c r="Q56" s="18"/>
    </row>
    <row r="57" spans="1:17" ht="13.5">
      <c r="A57" s="208" t="s">
        <v>237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18"/>
      <c r="Q57" s="18"/>
    </row>
    <row r="58" spans="1:17" ht="13.5">
      <c r="A58" s="208" t="s">
        <v>151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18"/>
      <c r="Q58" s="18"/>
    </row>
    <row r="59" spans="1:17" ht="13.5">
      <c r="A59" s="19"/>
      <c r="B59" s="18"/>
      <c r="C59" s="18"/>
      <c r="D59" s="18"/>
      <c r="E59" s="31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3.5">
      <c r="A60" s="204" t="s">
        <v>152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</row>
    <row r="61" spans="1:30" s="4" customFormat="1" ht="39.75" customHeight="1">
      <c r="A61" s="211" t="s">
        <v>116</v>
      </c>
      <c r="B61" s="210" t="s">
        <v>153</v>
      </c>
      <c r="C61" s="210" t="s">
        <v>154</v>
      </c>
      <c r="D61" s="210" t="s">
        <v>155</v>
      </c>
      <c r="E61" s="210" t="s">
        <v>156</v>
      </c>
      <c r="F61" s="210"/>
      <c r="G61" s="210"/>
      <c r="H61" s="210"/>
      <c r="I61" s="210" t="s">
        <v>161</v>
      </c>
      <c r="J61" s="210"/>
      <c r="K61" s="210"/>
      <c r="L61" s="210"/>
      <c r="M61" s="210"/>
      <c r="N61" s="210"/>
      <c r="O61" s="210" t="s">
        <v>167</v>
      </c>
      <c r="P61" s="210"/>
      <c r="Q61" s="210"/>
      <c r="R61" s="210"/>
      <c r="S61" s="210"/>
      <c r="T61" s="210"/>
      <c r="U61" s="210"/>
      <c r="V61" s="210" t="s">
        <v>171</v>
      </c>
      <c r="W61" s="210"/>
      <c r="X61" s="210"/>
      <c r="Y61" s="210"/>
      <c r="Z61" s="210" t="s">
        <v>175</v>
      </c>
      <c r="AA61" s="210"/>
      <c r="AB61" s="210"/>
      <c r="AC61" s="210" t="s">
        <v>179</v>
      </c>
      <c r="AD61" s="210"/>
    </row>
    <row r="62" spans="1:41" s="4" customFormat="1" ht="211.5" customHeight="1">
      <c r="A62" s="211"/>
      <c r="B62" s="210"/>
      <c r="C62" s="210"/>
      <c r="D62" s="210"/>
      <c r="E62" s="32" t="s">
        <v>157</v>
      </c>
      <c r="F62" s="8" t="s">
        <v>158</v>
      </c>
      <c r="G62" s="8" t="s">
        <v>159</v>
      </c>
      <c r="H62" s="8" t="s">
        <v>160</v>
      </c>
      <c r="I62" s="8" t="s">
        <v>162</v>
      </c>
      <c r="J62" s="8" t="s">
        <v>163</v>
      </c>
      <c r="K62" s="8" t="s">
        <v>164</v>
      </c>
      <c r="L62" s="8" t="s">
        <v>165</v>
      </c>
      <c r="M62" s="8" t="s">
        <v>166</v>
      </c>
      <c r="N62" s="8" t="s">
        <v>54</v>
      </c>
      <c r="O62" s="8" t="s">
        <v>168</v>
      </c>
      <c r="P62" s="8" t="s">
        <v>169</v>
      </c>
      <c r="Q62" s="8" t="s">
        <v>170</v>
      </c>
      <c r="R62" s="8" t="s">
        <v>164</v>
      </c>
      <c r="S62" s="8" t="s">
        <v>165</v>
      </c>
      <c r="T62" s="8" t="s">
        <v>166</v>
      </c>
      <c r="U62" s="8" t="s">
        <v>54</v>
      </c>
      <c r="V62" s="8" t="s">
        <v>172</v>
      </c>
      <c r="W62" s="8" t="s">
        <v>173</v>
      </c>
      <c r="X62" s="8" t="s">
        <v>174</v>
      </c>
      <c r="Y62" s="8" t="s">
        <v>54</v>
      </c>
      <c r="Z62" s="8" t="s">
        <v>176</v>
      </c>
      <c r="AA62" s="8" t="s">
        <v>177</v>
      </c>
      <c r="AB62" s="8" t="s">
        <v>178</v>
      </c>
      <c r="AC62" s="8" t="s">
        <v>180</v>
      </c>
      <c r="AD62" s="8" t="s">
        <v>181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30" ht="13.5">
      <c r="A63" s="77">
        <v>1</v>
      </c>
      <c r="B63" s="77">
        <v>2</v>
      </c>
      <c r="C63" s="77">
        <v>3</v>
      </c>
      <c r="D63" s="77">
        <v>4</v>
      </c>
      <c r="E63" s="33">
        <v>5</v>
      </c>
      <c r="F63" s="77">
        <v>6</v>
      </c>
      <c r="G63" s="77">
        <v>7</v>
      </c>
      <c r="H63" s="77">
        <v>8</v>
      </c>
      <c r="I63" s="77">
        <v>9</v>
      </c>
      <c r="J63" s="77">
        <v>10</v>
      </c>
      <c r="K63" s="77">
        <v>11</v>
      </c>
      <c r="L63" s="77">
        <v>12</v>
      </c>
      <c r="M63" s="77">
        <v>13</v>
      </c>
      <c r="N63" s="77">
        <v>14</v>
      </c>
      <c r="O63" s="77">
        <v>15</v>
      </c>
      <c r="P63" s="77">
        <v>16</v>
      </c>
      <c r="Q63" s="77">
        <v>17</v>
      </c>
      <c r="R63" s="77">
        <v>18</v>
      </c>
      <c r="S63" s="77">
        <v>19</v>
      </c>
      <c r="T63" s="77">
        <v>20</v>
      </c>
      <c r="U63" s="77">
        <v>21</v>
      </c>
      <c r="V63" s="77">
        <v>22</v>
      </c>
      <c r="W63" s="77">
        <v>23</v>
      </c>
      <c r="X63" s="77">
        <v>24</v>
      </c>
      <c r="Y63" s="77">
        <v>25</v>
      </c>
      <c r="Z63" s="77">
        <v>26</v>
      </c>
      <c r="AA63" s="77">
        <v>27</v>
      </c>
      <c r="AB63" s="77">
        <v>28</v>
      </c>
      <c r="AC63" s="77">
        <v>29</v>
      </c>
      <c r="AD63" s="77">
        <v>30</v>
      </c>
    </row>
    <row r="64" spans="1:30" ht="27">
      <c r="A64" s="77"/>
      <c r="B64" s="77" t="s">
        <v>215</v>
      </c>
      <c r="C64" s="78" t="s">
        <v>238</v>
      </c>
      <c r="D64" s="77" t="s">
        <v>205</v>
      </c>
      <c r="E64" s="26" t="s">
        <v>206</v>
      </c>
      <c r="F64" s="77" t="s">
        <v>239</v>
      </c>
      <c r="G64" s="77" t="s">
        <v>239</v>
      </c>
      <c r="H64" s="77" t="s">
        <v>239</v>
      </c>
      <c r="I64" s="77" t="s">
        <v>239</v>
      </c>
      <c r="J64" s="77" t="s">
        <v>206</v>
      </c>
      <c r="K64" s="77" t="s">
        <v>239</v>
      </c>
      <c r="L64" s="77" t="s">
        <v>239</v>
      </c>
      <c r="M64" s="77" t="s">
        <v>239</v>
      </c>
      <c r="N64" s="77" t="s">
        <v>137</v>
      </c>
      <c r="O64" s="77" t="s">
        <v>137</v>
      </c>
      <c r="P64" s="77" t="s">
        <v>137</v>
      </c>
      <c r="Q64" s="77" t="s">
        <v>137</v>
      </c>
      <c r="R64" s="77" t="s">
        <v>239</v>
      </c>
      <c r="S64" s="77" t="s">
        <v>239</v>
      </c>
      <c r="T64" s="77" t="s">
        <v>137</v>
      </c>
      <c r="U64" s="77" t="s">
        <v>137</v>
      </c>
      <c r="V64" s="77" t="s">
        <v>206</v>
      </c>
      <c r="W64" s="77" t="s">
        <v>137</v>
      </c>
      <c r="X64" s="77" t="s">
        <v>239</v>
      </c>
      <c r="Y64" s="77" t="s">
        <v>137</v>
      </c>
      <c r="Z64" s="77" t="s">
        <v>207</v>
      </c>
      <c r="AA64" s="77" t="s">
        <v>137</v>
      </c>
      <c r="AB64" s="77" t="s">
        <v>137</v>
      </c>
      <c r="AC64" s="77" t="s">
        <v>206</v>
      </c>
      <c r="AD64" s="77" t="s">
        <v>137</v>
      </c>
    </row>
  </sheetData>
  <sheetProtection/>
  <mergeCells count="36">
    <mergeCell ref="AC61:AD61"/>
    <mergeCell ref="E61:H61"/>
    <mergeCell ref="A61:A62"/>
    <mergeCell ref="B61:B62"/>
    <mergeCell ref="C61:C62"/>
    <mergeCell ref="D61:D62"/>
    <mergeCell ref="I61:N61"/>
    <mergeCell ref="O61:U61"/>
    <mergeCell ref="V61:Y61"/>
    <mergeCell ref="Z61:AB61"/>
    <mergeCell ref="A56:O56"/>
    <mergeCell ref="A47:J47"/>
    <mergeCell ref="A57:O57"/>
    <mergeCell ref="A58:O58"/>
    <mergeCell ref="A60:Q60"/>
    <mergeCell ref="A49:O49"/>
    <mergeCell ref="A50:O50"/>
    <mergeCell ref="A51:O51"/>
    <mergeCell ref="A53:O53"/>
    <mergeCell ref="A54:O54"/>
    <mergeCell ref="A36:Q36"/>
    <mergeCell ref="A46:O46"/>
    <mergeCell ref="A1:Q1"/>
    <mergeCell ref="A3:Q3"/>
    <mergeCell ref="C4:Q4"/>
    <mergeCell ref="C5:E5"/>
    <mergeCell ref="F5:H5"/>
    <mergeCell ref="I5:K5"/>
    <mergeCell ref="L5:N5"/>
    <mergeCell ref="O5:Q5"/>
    <mergeCell ref="B4:B6"/>
    <mergeCell ref="A4:A6"/>
    <mergeCell ref="B33:B34"/>
    <mergeCell ref="G33:G34"/>
    <mergeCell ref="D34:E34"/>
    <mergeCell ref="A30:Q30"/>
  </mergeCells>
  <printOptions/>
  <pageMargins left="0.7" right="0.7" top="0.75" bottom="0.75" header="0.3" footer="0.3"/>
  <pageSetup horizontalDpi="600" verticalDpi="600" orientation="landscape" paperSize="9" scale="34" r:id="rId1"/>
  <rowBreaks count="1" manualBreakCount="1">
    <brk id="35" max="255" man="1"/>
  </rowBreaks>
  <ignoredErrors>
    <ignoredError sqref="A15 A24 A33 A43:A44" numberStoredAsText="1"/>
    <ignoredError sqref="A17:A18" twoDigitTextYear="1"/>
    <ignoredError sqref="K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2022-04-04T09:57:49Z</dcterms:modified>
  <cp:category/>
  <cp:version/>
  <cp:contentType/>
  <cp:contentStatus/>
</cp:coreProperties>
</file>