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432" tabRatio="786" activeTab="0"/>
  </bookViews>
  <sheets>
    <sheet name="1 Общ. инфор." sheetId="1" r:id="rId1"/>
    <sheet name="2 Показат. кач. передача" sheetId="2" r:id="rId2"/>
    <sheet name="3 Показатели кач. тех. прис." sheetId="3" r:id="rId3"/>
    <sheet name="4 Качество обслуживания" sheetId="4" r:id="rId4"/>
  </sheets>
  <definedNames>
    <definedName name="_xlnm.Print_Area" localSheetId="0">'1 Общ. инфор.'!$A$1:$N$35</definedName>
    <definedName name="_xlnm.Print_Area" localSheetId="1">'2 Показат. кач. передача'!$A$1:$T$49</definedName>
    <definedName name="_xlnm.Print_Area" localSheetId="2">'3 Показатели кач. тех. прис.'!$A$1:$T$55</definedName>
    <definedName name="_xlnm.Print_Area" localSheetId="3">'4 Качество обслуживания'!$A$1:$AD$69</definedName>
  </definedNames>
  <calcPr fullCalcOnLoad="1"/>
</workbook>
</file>

<file path=xl/comments1.xml><?xml version="1.0" encoding="utf-8"?>
<comments xmlns="http://schemas.openxmlformats.org/spreadsheetml/2006/main">
  <authors>
    <author>Автор</author>
  </authors>
  <commentList>
    <comment ref="A3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к-во потребителей из расчета объектов по адресно</t>
        </r>
      </text>
    </comment>
    <comment ref="A11" authorId="0">
      <text>
        <r>
          <rPr>
            <b/>
            <sz val="9"/>
            <rFont val="Tahoma"/>
            <family val="2"/>
          </rPr>
          <t>Автор:</t>
        </r>
        <r>
          <rPr>
            <sz val="9"/>
            <rFont val="Tahoma"/>
            <family val="2"/>
          </rPr>
          <t xml:space="preserve">
к-во исходя из установленных счетчиков</t>
        </r>
      </text>
    </comment>
  </commentList>
</comments>
</file>

<file path=xl/sharedStrings.xml><?xml version="1.0" encoding="utf-8"?>
<sst xmlns="http://schemas.openxmlformats.org/spreadsheetml/2006/main" count="493" uniqueCount="266">
  <si>
    <t>Показатель</t>
  </si>
  <si>
    <t>Значение показателя, годы</t>
  </si>
  <si>
    <t>N</t>
  </si>
  <si>
    <t>N-1</t>
  </si>
  <si>
    <t>N (текущий год)</t>
  </si>
  <si>
    <t>Динамика изменения показателя</t>
  </si>
  <si>
    <t>ВН (110 кВ и выше)</t>
  </si>
  <si>
    <t>СН1 (35 - 60 кВ)</t>
  </si>
  <si>
    <t>СН2 (1 - 20 кВ)</t>
  </si>
  <si>
    <t>НН (до 1 кВ)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</si>
  <si>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</si>
  <si>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</si>
  <si>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</si>
  <si>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</si>
  <si>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</si>
  <si>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</si>
  <si>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</si>
  <si>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</si>
  <si>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</si>
  <si>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ВН</t>
  </si>
  <si>
    <t>СН1</t>
  </si>
  <si>
    <t>СН2</t>
  </si>
  <si>
    <t>НН</t>
  </si>
  <si>
    <t>n</t>
  </si>
  <si>
    <t>Всего по сетевой организации</t>
  </si>
  <si>
    <t>2.4. Прочая информация, которую сетевая организация считает целесообразной для включения в отчет, касающаяся качества оказания услуг по передаче электрической энергии, заполняется в произвольной форме.</t>
  </si>
  <si>
    <t>по технологическому присоединению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</si>
  <si>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</si>
  <si>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</si>
  <si>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</si>
  <si>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</si>
  <si>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</si>
  <si>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</si>
  <si>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</si>
  <si>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</si>
  <si>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</si>
  <si>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</si>
  <si>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</si>
  <si>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</si>
  <si>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</si>
  <si>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</si>
  <si>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</si>
  <si>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</si>
  <si>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</si>
  <si>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</si>
  <si>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</si>
  <si>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</si>
  <si>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</si>
  <si>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</si>
  <si>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</si>
  <si>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</si>
  <si>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</si>
  <si>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</si>
  <si>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</si>
  <si>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</si>
  <si>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</si>
  <si>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</si>
  <si>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</si>
  <si>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</si>
  <si>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</si>
  <si>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Категории обращений потребителей</t>
  </si>
  <si>
    <t>Формы обслуживания</t>
  </si>
  <si>
    <t>Очная форма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</si>
  <si>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</si>
  <si>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</si>
  <si>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</si>
  <si>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</si>
  <si>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</si>
  <si>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</si>
  <si>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</si>
  <si>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</si>
  <si>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</si>
  <si>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</si>
  <si>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</si>
  <si>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</si>
  <si>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</si>
  <si>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</si>
  <si>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</si>
  <si>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4.2 Информация о деятельности офисов обслуживания потребителей.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</si>
  <si>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</si>
  <si>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</si>
  <si>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</si>
  <si>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</si>
  <si>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</si>
  <si>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</si>
  <si>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</si>
  <si>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</si>
  <si>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</si>
  <si>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</si>
  <si>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</si>
  <si>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номер телефона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</si>
  <si>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</si>
  <si>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</si>
  <si>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</si>
  <si>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</si>
  <si>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Среднее время обработки телефонного вызова от потребителя на выделенные номера телефонов за текущий период</t>
  </si>
  <si>
    <t>1.1.</t>
  </si>
  <si>
    <t>1.2.</t>
  </si>
  <si>
    <t>1.3.</t>
  </si>
  <si>
    <t>1.4.</t>
  </si>
  <si>
    <t>2.1.</t>
  </si>
  <si>
    <t>2.2.</t>
  </si>
  <si>
    <t>2.3.</t>
  </si>
  <si>
    <t>2.4.</t>
  </si>
  <si>
    <t>3.1.</t>
  </si>
  <si>
    <t>3.2.</t>
  </si>
  <si>
    <t>3.3.</t>
  </si>
  <si>
    <t>3.4.</t>
  </si>
  <si>
    <t>4.1.</t>
  </si>
  <si>
    <t>4.2.</t>
  </si>
  <si>
    <t>4.3.</t>
  </si>
  <si>
    <t>4.4.</t>
  </si>
  <si>
    <t>5.1.</t>
  </si>
  <si>
    <t>7.1.</t>
  </si>
  <si>
    <t>7.2.</t>
  </si>
  <si>
    <t>-</t>
  </si>
  <si>
    <t>Прием и консультации потребителей электрической энергии и мощности в части технологического присоединения, оказания услуг по передаче электрической энергии и мощности, показатели качества электрической энергии и прочей деятельности</t>
  </si>
  <si>
    <t>круглосуточно</t>
  </si>
  <si>
    <t>2.2. Рейтинг структурных единиц сетевой организации ИП Кацман В.В. по качеству оказания услуг по передаче электрической энергии, а также по качеству электрической энергии в отчетном периоде.</t>
  </si>
  <si>
    <t>3. Информация о качестве услуг по технологическому присоединению к сетям сетевой организации ИП Кацман В.В.</t>
  </si>
  <si>
    <t xml:space="preserve">2.1 Показатели качества услуг по передача электроэнергии в целом по сетевой организации в отчетном периоде, а также динамика по отношению к прошлому году </t>
  </si>
  <si>
    <r>
      <t xml:space="preserve"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 </t>
    </r>
    <r>
      <rPr>
        <b/>
        <sz val="10"/>
        <color indexed="8"/>
        <rFont val="Times New Roman"/>
        <family val="1"/>
      </rPr>
      <t>Раскрытию не подлежит, ввиду отсутствия для ИП Кацман В.В. инвестиционной программы, утвержденной РЭК Омской области.</t>
    </r>
  </si>
  <si>
    <t xml:space="preserve">2. Для упрощения процесса подачи заявки на технологическое присоединение через официальный сайт запущен модуль: "Окно подачи заявок";    </t>
  </si>
  <si>
    <t xml:space="preserve">3.2. Мероприятия, выполненные сетевой организацией в целях совершенствования деятельности по технологическому присоединению в отчетном периоде, заполняется в произвольной форме: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</si>
  <si>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3. Для подачи заявок выбраны удобные часы работы "Клиентского центра"; </t>
  </si>
  <si>
    <t xml:space="preserve">1. Проведены разъяснения с персоналом о необходимости тактичного общения с заявителями, желающими подать заявку на тех. присоединение, а также введена политика клиентоориентированности организации;              </t>
  </si>
  <si>
    <t>2.3. Мероприятия, выполненные сетевой организацией в целях повышения качества оказания услуг по передаче электрической энергии в отчетном периоде, заполняется в произвольной форме:</t>
  </si>
  <si>
    <t>1. На официальном сайте для оперативности реагирования в случае возникновения аварийной ситуации размещен телефон горячей линии;</t>
  </si>
  <si>
    <t>2. Обновлен автопарк машин бригад ОВБ;</t>
  </si>
  <si>
    <t>3. Проводятся планово-предупредительные ремонты электросетевого оборудования;</t>
  </si>
  <si>
    <t xml:space="preserve">4.1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 </t>
  </si>
  <si>
    <t>N                        (текущий год)</t>
  </si>
  <si>
    <t>№</t>
  </si>
  <si>
    <t>1.1</t>
  </si>
  <si>
    <t>1.2</t>
  </si>
  <si>
    <t>1.3</t>
  </si>
  <si>
    <t>1.4</t>
  </si>
  <si>
    <t>1.5</t>
  </si>
  <si>
    <t>1.6</t>
  </si>
  <si>
    <t>2</t>
  </si>
  <si>
    <t>2.1</t>
  </si>
  <si>
    <t>2.1.1</t>
  </si>
  <si>
    <t>2.1.2</t>
  </si>
  <si>
    <t>2.2</t>
  </si>
  <si>
    <t>2.3</t>
  </si>
  <si>
    <t>2.4</t>
  </si>
  <si>
    <t>2.5</t>
  </si>
  <si>
    <t>2.6</t>
  </si>
  <si>
    <t>3</t>
  </si>
  <si>
    <t>3.1</t>
  </si>
  <si>
    <t>3.2</t>
  </si>
  <si>
    <t>3.3</t>
  </si>
  <si>
    <t>3.4</t>
  </si>
  <si>
    <t xml:space="preserve"> -</t>
  </si>
  <si>
    <t>1</t>
  </si>
  <si>
    <t>4</t>
  </si>
  <si>
    <t>Центр обслуживания</t>
  </si>
  <si>
    <t>4.3 Информация о заочном обслуживании потребителей по средством телефонной связи</t>
  </si>
  <si>
    <t>Перечень номеров телефонов, выделенных для обслуживания потребителей: Номер телефона по вопросам энергоснабжения: Номера телефонов центров обработки телефонных вызовов:</t>
  </si>
  <si>
    <t>Общее число телефонных вызовов от потребителей по выделенным номерам телефонов.</t>
  </si>
  <si>
    <t>мин</t>
  </si>
  <si>
    <t>4.4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 пунктом 4.1 Информации о качестве обслуживания потребителей услуг.</t>
  </si>
  <si>
    <t>* - Обращений потребителей не поступало</t>
  </si>
  <si>
    <t>1. В случае обращения заявителя, относящегося к социально уязвимой категории граждан, он обслуживается без очереди.</t>
  </si>
  <si>
    <t xml:space="preserve">4.7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
</t>
  </si>
  <si>
    <t>1. На официальном сайте объявлен опрос заявителей на предмет удовлетворенностью работы "Центра обслуживания клиентов", опрос результатов не дал.</t>
  </si>
  <si>
    <t xml:space="preserve">4.8 Мероприятия, выполняемые сетевой организацией в целях повышения качества обслуживания потребителей.
</t>
  </si>
  <si>
    <t>1. Поощрение дружилюбия и коммуникабельности сотрудников ЦОК при работе с заявителем</t>
  </si>
  <si>
    <t>2. Возможность обрабатывать обращения потребителей в интерактивном режиме, что заметно сокращает время обработки заявки и направления ответа.</t>
  </si>
  <si>
    <t>4.9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</si>
  <si>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</si>
  <si>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</si>
  <si>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</si>
  <si>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</si>
  <si>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Очное</t>
  </si>
  <si>
    <t>Заочное, по телефону</t>
  </si>
  <si>
    <t>Заочное, через Интернет</t>
  </si>
  <si>
    <t>Письменное, по почте</t>
  </si>
  <si>
    <t>Обращения</t>
  </si>
  <si>
    <t>Оказание услуг по передаче э/э</t>
  </si>
  <si>
    <t>Осуществление тех. присоединения</t>
  </si>
  <si>
    <t>Коммерческий учет э/э</t>
  </si>
  <si>
    <t>Качество обслуживания потребителей</t>
  </si>
  <si>
    <t>Тех. обслуживание сетей</t>
  </si>
  <si>
    <t>Обращения, содержащие жалобу</t>
  </si>
  <si>
    <t>Качество оказания услуг по передаче э/э</t>
  </si>
  <si>
    <t>Качество э/э</t>
  </si>
  <si>
    <t>Качество услуг по тех. присоединению</t>
  </si>
  <si>
    <t>Обращения, содержащие заявку на оказание услуг</t>
  </si>
  <si>
    <t>По тех. присоединению</t>
  </si>
  <si>
    <t>Заключение договора оказания услуг по передаче э/э</t>
  </si>
  <si>
    <t>Организация коммерческого учета</t>
  </si>
  <si>
    <t>Факт получения потребителем ответа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</si>
  <si>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</si>
  <si>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</si>
  <si>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</si>
  <si>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Мероприятия по результатам обращений</t>
  </si>
  <si>
    <t>Выполненные мероприятия по результатам обращению</t>
  </si>
  <si>
    <t>Планируемые мероприятия по результатам обращению</t>
  </si>
  <si>
    <t>очный</t>
  </si>
  <si>
    <t>заочный</t>
  </si>
  <si>
    <t>http://katsman-omsk.ru/centr-obsluzhivaniya-klientov/</t>
  </si>
  <si>
    <t>1.1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отчетному, заполняется в произвольной форме.</t>
  </si>
  <si>
    <t xml:space="preserve">ЮЛ </t>
  </si>
  <si>
    <t>Тип потребителя</t>
  </si>
  <si>
    <t>1.2.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отчетному, заполняется в произвольной форме.</t>
  </si>
  <si>
    <t>К-во точек поставки, всего</t>
  </si>
  <si>
    <t>К-во точек поставки, оборудованных ПУ</t>
  </si>
  <si>
    <t>1. Общая информация о сетевой организации ИП Кацман В.В.</t>
  </si>
  <si>
    <t>1.3.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</si>
  <si>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К-во ТП</t>
  </si>
  <si>
    <t>Протяженность ВЛ</t>
  </si>
  <si>
    <t>Протяженность КЛ</t>
  </si>
  <si>
    <t xml:space="preserve"> -0,4кВ</t>
  </si>
  <si>
    <t xml:space="preserve"> -6, 10кВ</t>
  </si>
  <si>
    <t>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</si>
  <si>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Уровень физического износа</t>
  </si>
  <si>
    <t>Тип оборудования</t>
  </si>
  <si>
    <t>Показатель средней частоты прекращений передачи электрической энергии (                 )</t>
  </si>
  <si>
    <t>Показатель средней продолжительности прекращений передачи электрической энергии (                      )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</si>
  <si>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)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</si>
  <si>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         )</t>
  </si>
  <si>
    <t>2. Информация о качестве услуг по передаче электрической энергии по сетям сетевой организации ИП Кацман В.В.</t>
  </si>
  <si>
    <t xml:space="preserve">4. Качество обслуживания </t>
  </si>
  <si>
    <t>ТП</t>
  </si>
  <si>
    <t>КЛ/ВЛ</t>
  </si>
  <si>
    <t>300 - городская местность</t>
  </si>
  <si>
    <t>500 - сельская местность</t>
  </si>
  <si>
    <t>ЮЛ, ИП</t>
  </si>
  <si>
    <t>ЮЛ, ИП, ФЛ-льготники (СНТ, ГСК, церкви, объединения гаражей, сараев и т.д.)</t>
  </si>
  <si>
    <t>не фиксируется</t>
  </si>
  <si>
    <t xml:space="preserve"> +</t>
  </si>
  <si>
    <t xml:space="preserve">  +</t>
  </si>
  <si>
    <t>ИП Кацман В.В.</t>
  </si>
  <si>
    <t xml:space="preserve">Население и прирав. </t>
  </si>
  <si>
    <t xml:space="preserve">4.6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законом от 12 января 1995 г. № 5-ФЗ "О ветеранах" </t>
  </si>
  <si>
    <t>4.5 Описание дополнительных услуг, оказываемых потребителю, в Единых стандартах качества обслуживания сетевыми организациями потребителей сетевых организаций</t>
  </si>
  <si>
    <t>Заявки на оказание услуг:</t>
  </si>
  <si>
    <t>Обращения потребителей:</t>
  </si>
  <si>
    <t>Жалобы:</t>
  </si>
  <si>
    <t>фиксируется</t>
  </si>
  <si>
    <t>По стандартизированной тарифной ставке</t>
  </si>
  <si>
    <t>Способ расчета</t>
  </si>
  <si>
    <t>По ставке за единицу мощности</t>
  </si>
  <si>
    <t>5</t>
  </si>
  <si>
    <t>6</t>
  </si>
  <si>
    <t>II, III</t>
  </si>
  <si>
    <t>Население и прирав., в т.ч.:</t>
  </si>
  <si>
    <t xml:space="preserve"> - ИПУ в ЧЖД</t>
  </si>
  <si>
    <t xml:space="preserve"> - ОДПУ в мжд</t>
  </si>
  <si>
    <t xml:space="preserve"> - АСКУЭ</t>
  </si>
  <si>
    <t>0</t>
  </si>
  <si>
    <t xml:space="preserve"> - приравненные</t>
  </si>
  <si>
    <t>г. Омск, ул. 10 лет Октября, 203, стр1, каб13</t>
  </si>
  <si>
    <t>10:00 - 16:00</t>
  </si>
  <si>
    <t>Заочная форма с использованием                          телефонной связи</t>
  </si>
  <si>
    <t>79-05-93</t>
  </si>
  <si>
    <t>79-05-93; tsotp1@yandex.ru</t>
  </si>
  <si>
    <t>0,300</t>
  </si>
  <si>
    <t>0,280</t>
  </si>
  <si>
    <t>1. Стоимость услуг тех. присоединения к сетям ИП Кацман В.В. определяется согласно тарифным ставкам, установленными в редакции  Приказа РЭК № 575/90 от 30.12.2019г «Об установлении ставок платы за технологическое присоединение к территориальным распределительным электрическим сетям на территории Омской области на 2020 год» Расчет окончательной стоимости определяется по формулам, указанным в Приложении №4 настоящего приказа</t>
  </si>
  <si>
    <t>Расчет является ориентировочным. Итоговая стоимость технологического присоединения будет рассчитана сетевой организацией при подготовке договора об осуществлении технологического присоединения в соответствии с утвержденными ставками после подачи заявителем заявки на технологическое присоединение. Цена указана с НДС 20%.</t>
  </si>
  <si>
    <t>2021 год (план)</t>
  </si>
  <si>
    <t>1,61 % рост относительно факта 2020 года</t>
  </si>
  <si>
    <t>2,94 % рост относительно факта 2020 года</t>
  </si>
  <si>
    <t>82,428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</si>
</sst>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63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rgb="FF000000"/>
      <name val="Times New Roman"/>
      <family val="1"/>
    </font>
    <font>
      <sz val="11"/>
      <color rgb="FF333333"/>
      <name val="Times New Roman"/>
      <family val="1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7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 horizontal="justify"/>
    </xf>
    <xf numFmtId="0" fontId="48" fillId="0" borderId="0" xfId="0" applyFont="1" applyAlignment="1">
      <alignment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49" fontId="46" fillId="0" borderId="0" xfId="0" applyNumberFormat="1" applyFont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2" fontId="46" fillId="0" borderId="10" xfId="0" applyNumberFormat="1" applyFont="1" applyBorder="1" applyAlignment="1">
      <alignment horizontal="center" vertical="center" textRotation="180" wrapText="1"/>
    </xf>
    <xf numFmtId="2" fontId="46" fillId="0" borderId="0" xfId="0" applyNumberFormat="1" applyFont="1" applyAlignment="1">
      <alignment horizontal="center" vertical="center" textRotation="180" wrapText="1"/>
    </xf>
    <xf numFmtId="0" fontId="47" fillId="0" borderId="10" xfId="0" applyFont="1" applyBorder="1" applyAlignment="1">
      <alignment horizontal="center" vertical="top" wrapText="1"/>
    </xf>
    <xf numFmtId="0" fontId="47" fillId="0" borderId="10" xfId="0" applyFont="1" applyBorder="1" applyAlignment="1">
      <alignment vertical="top" wrapText="1"/>
    </xf>
    <xf numFmtId="16" fontId="47" fillId="0" borderId="10" xfId="0" applyNumberFormat="1" applyFont="1" applyBorder="1" applyAlignment="1">
      <alignment horizontal="center" vertical="top" wrapText="1"/>
    </xf>
    <xf numFmtId="0" fontId="47" fillId="33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2" fontId="47" fillId="0" borderId="10" xfId="0" applyNumberFormat="1" applyFont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2" fontId="47" fillId="0" borderId="0" xfId="0" applyNumberFormat="1" applyFont="1" applyAlignment="1">
      <alignment horizontal="center" vertical="center" wrapText="1"/>
    </xf>
    <xf numFmtId="0" fontId="47" fillId="0" borderId="10" xfId="0" applyFont="1" applyBorder="1" applyAlignment="1">
      <alignment horizontal="justify" vertical="top" wrapText="1"/>
    </xf>
    <xf numFmtId="0" fontId="46" fillId="0" borderId="0" xfId="0" applyFont="1" applyAlignment="1">
      <alignment vertical="top" wrapText="1"/>
    </xf>
    <xf numFmtId="49" fontId="46" fillId="0" borderId="0" xfId="0" applyNumberFormat="1" applyFont="1" applyAlignment="1">
      <alignment horizontal="center" vertical="top" wrapText="1"/>
    </xf>
    <xf numFmtId="49" fontId="49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0" xfId="0" applyFont="1" applyAlignment="1">
      <alignment vertical="center" wrapText="1"/>
    </xf>
    <xf numFmtId="0" fontId="49" fillId="0" borderId="10" xfId="0" applyFont="1" applyBorder="1" applyAlignment="1">
      <alignment horizontal="left" vertical="center" wrapText="1"/>
    </xf>
    <xf numFmtId="0" fontId="49" fillId="0" borderId="0" xfId="0" applyFont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49" fontId="50" fillId="0" borderId="0" xfId="0" applyNumberFormat="1" applyFont="1" applyAlignment="1">
      <alignment/>
    </xf>
    <xf numFmtId="49" fontId="46" fillId="0" borderId="11" xfId="0" applyNumberFormat="1" applyFont="1" applyBorder="1" applyAlignment="1">
      <alignment horizontal="center"/>
    </xf>
    <xf numFmtId="0" fontId="47" fillId="33" borderId="12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/>
    </xf>
    <xf numFmtId="2" fontId="4" fillId="0" borderId="0" xfId="0" applyNumberFormat="1" applyFont="1" applyAlignment="1">
      <alignment vertical="center" wrapText="1"/>
    </xf>
    <xf numFmtId="2" fontId="4" fillId="0" borderId="0" xfId="0" applyNumberFormat="1" applyFont="1" applyAlignment="1">
      <alignment vertical="top" wrapText="1"/>
    </xf>
    <xf numFmtId="2" fontId="4" fillId="0" borderId="10" xfId="0" applyNumberFormat="1" applyFont="1" applyBorder="1" applyAlignment="1">
      <alignment horizontal="center" vertical="center" textRotation="180" wrapText="1"/>
    </xf>
    <xf numFmtId="0" fontId="4" fillId="0" borderId="10" xfId="0" applyFont="1" applyBorder="1" applyAlignment="1">
      <alignment horizontal="center" vertical="center" wrapText="1"/>
    </xf>
    <xf numFmtId="49" fontId="46" fillId="0" borderId="12" xfId="0" applyNumberFormat="1" applyFont="1" applyBorder="1" applyAlignment="1">
      <alignment horizontal="center"/>
    </xf>
    <xf numFmtId="49" fontId="46" fillId="0" borderId="10" xfId="0" applyNumberFormat="1" applyFont="1" applyBorder="1" applyAlignment="1">
      <alignment horizontal="center"/>
    </xf>
    <xf numFmtId="49" fontId="46" fillId="0" borderId="14" xfId="0" applyNumberFormat="1" applyFont="1" applyBorder="1" applyAlignment="1">
      <alignment horizontal="center" vertical="center" wrapText="1"/>
    </xf>
    <xf numFmtId="49" fontId="46" fillId="0" borderId="14" xfId="0" applyNumberFormat="1" applyFont="1" applyBorder="1" applyAlignment="1">
      <alignment horizontal="center"/>
    </xf>
    <xf numFmtId="0" fontId="46" fillId="0" borderId="0" xfId="0" applyFont="1" applyAlignment="1">
      <alignment horizontal="left" vertical="center"/>
    </xf>
    <xf numFmtId="0" fontId="46" fillId="0" borderId="0" xfId="0" applyFont="1" applyAlignment="1">
      <alignment horizontal="center"/>
    </xf>
    <xf numFmtId="49" fontId="46" fillId="0" borderId="10" xfId="0" applyNumberFormat="1" applyFont="1" applyBorder="1" applyAlignment="1">
      <alignment/>
    </xf>
    <xf numFmtId="49" fontId="46" fillId="0" borderId="15" xfId="0" applyNumberFormat="1" applyFont="1" applyBorder="1" applyAlignment="1">
      <alignment horizontal="center"/>
    </xf>
    <xf numFmtId="49" fontId="46" fillId="0" borderId="0" xfId="0" applyNumberFormat="1" applyFont="1" applyAlignment="1">
      <alignment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center" wrapText="1"/>
    </xf>
    <xf numFmtId="49" fontId="46" fillId="0" borderId="14" xfId="0" applyNumberFormat="1" applyFont="1" applyBorder="1" applyAlignment="1">
      <alignment/>
    </xf>
    <xf numFmtId="49" fontId="46" fillId="0" borderId="0" xfId="0" applyNumberFormat="1" applyFont="1" applyAlignment="1">
      <alignment horizontal="center"/>
    </xf>
    <xf numFmtId="49" fontId="46" fillId="34" borderId="12" xfId="0" applyNumberFormat="1" applyFont="1" applyFill="1" applyBorder="1" applyAlignment="1">
      <alignment horizontal="center" vertical="center"/>
    </xf>
    <xf numFmtId="49" fontId="46" fillId="34" borderId="10" xfId="0" applyNumberFormat="1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6" fillId="34" borderId="13" xfId="0" applyFont="1" applyFill="1" applyBorder="1" applyAlignment="1">
      <alignment horizontal="center" vertical="center"/>
    </xf>
    <xf numFmtId="49" fontId="46" fillId="34" borderId="10" xfId="0" applyNumberFormat="1" applyFont="1" applyFill="1" applyBorder="1" applyAlignment="1">
      <alignment horizontal="center" wrapText="1"/>
    </xf>
    <xf numFmtId="49" fontId="46" fillId="34" borderId="14" xfId="0" applyNumberFormat="1" applyFont="1" applyFill="1" applyBorder="1" applyAlignment="1">
      <alignment horizontal="center" wrapText="1"/>
    </xf>
    <xf numFmtId="49" fontId="46" fillId="34" borderId="12" xfId="0" applyNumberFormat="1" applyFont="1" applyFill="1" applyBorder="1" applyAlignment="1">
      <alignment horizontal="center" wrapText="1"/>
    </xf>
    <xf numFmtId="49" fontId="46" fillId="34" borderId="13" xfId="0" applyNumberFormat="1" applyFont="1" applyFill="1" applyBorder="1" applyAlignment="1">
      <alignment horizontal="center" wrapText="1"/>
    </xf>
    <xf numFmtId="49" fontId="46" fillId="34" borderId="16" xfId="0" applyNumberFormat="1" applyFont="1" applyFill="1" applyBorder="1" applyAlignment="1">
      <alignment horizontal="center" vertical="center" wrapText="1"/>
    </xf>
    <xf numFmtId="49" fontId="46" fillId="34" borderId="17" xfId="0" applyNumberFormat="1" applyFont="1" applyFill="1" applyBorder="1" applyAlignment="1">
      <alignment horizontal="center" vertical="center" wrapText="1"/>
    </xf>
    <xf numFmtId="1" fontId="46" fillId="0" borderId="10" xfId="0" applyNumberFormat="1" applyFont="1" applyBorder="1" applyAlignment="1">
      <alignment horizontal="center" vertical="center"/>
    </xf>
    <xf numFmtId="1" fontId="46" fillId="0" borderId="13" xfId="0" applyNumberFormat="1" applyFont="1" applyBorder="1" applyAlignment="1">
      <alignment horizontal="center" vertical="center"/>
    </xf>
    <xf numFmtId="1" fontId="46" fillId="0" borderId="11" xfId="0" applyNumberFormat="1" applyFont="1" applyBorder="1" applyAlignment="1">
      <alignment horizontal="center"/>
    </xf>
    <xf numFmtId="1" fontId="46" fillId="0" borderId="18" xfId="0" applyNumberFormat="1" applyFont="1" applyBorder="1" applyAlignment="1">
      <alignment horizontal="center" vertical="center"/>
    </xf>
    <xf numFmtId="49" fontId="46" fillId="34" borderId="10" xfId="0" applyNumberFormat="1" applyFont="1" applyFill="1" applyBorder="1" applyAlignment="1">
      <alignment horizontal="center"/>
    </xf>
    <xf numFmtId="49" fontId="46" fillId="34" borderId="13" xfId="0" applyNumberFormat="1" applyFont="1" applyFill="1" applyBorder="1" applyAlignment="1">
      <alignment horizontal="center"/>
    </xf>
    <xf numFmtId="49" fontId="46" fillId="34" borderId="12" xfId="0" applyNumberFormat="1" applyFont="1" applyFill="1" applyBorder="1" applyAlignment="1">
      <alignment horizontal="center"/>
    </xf>
    <xf numFmtId="0" fontId="46" fillId="34" borderId="13" xfId="0" applyFont="1" applyFill="1" applyBorder="1" applyAlignment="1">
      <alignment horizontal="center"/>
    </xf>
    <xf numFmtId="2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49" fontId="7" fillId="0" borderId="0" xfId="0" applyNumberFormat="1" applyFont="1" applyAlignment="1">
      <alignment/>
    </xf>
    <xf numFmtId="49" fontId="46" fillId="0" borderId="19" xfId="0" applyNumberFormat="1" applyFont="1" applyFill="1" applyBorder="1" applyAlignment="1">
      <alignment horizontal="center"/>
    </xf>
    <xf numFmtId="49" fontId="46" fillId="0" borderId="20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 horizontal="left"/>
    </xf>
    <xf numFmtId="0" fontId="47" fillId="0" borderId="10" xfId="0" applyFont="1" applyFill="1" applyBorder="1" applyAlignment="1">
      <alignment horizontal="center" vertical="top" wrapText="1"/>
    </xf>
    <xf numFmtId="16" fontId="47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Fill="1" applyBorder="1" applyAlignment="1">
      <alignment horizontal="right" vertical="top" wrapText="1"/>
    </xf>
    <xf numFmtId="0" fontId="47" fillId="0" borderId="10" xfId="0" applyFont="1" applyFill="1" applyBorder="1" applyAlignment="1">
      <alignment horizontal="center" vertical="center" wrapText="1"/>
    </xf>
    <xf numFmtId="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top" wrapText="1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justify"/>
    </xf>
    <xf numFmtId="0" fontId="47" fillId="0" borderId="10" xfId="0" applyFont="1" applyFill="1" applyBorder="1" applyAlignment="1">
      <alignment vertical="top" wrapText="1"/>
    </xf>
    <xf numFmtId="0" fontId="46" fillId="0" borderId="0" xfId="0" applyFont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top" wrapText="1"/>
    </xf>
    <xf numFmtId="0" fontId="46" fillId="0" borderId="0" xfId="0" applyFont="1" applyAlignment="1">
      <alignment horizontal="left" vertical="top" wrapText="1"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/>
    </xf>
    <xf numFmtId="0" fontId="46" fillId="0" borderId="11" xfId="0" applyFont="1" applyFill="1" applyBorder="1" applyAlignment="1">
      <alignment horizontal="center"/>
    </xf>
    <xf numFmtId="49" fontId="46" fillId="35" borderId="20" xfId="0" applyNumberFormat="1" applyFont="1" applyFill="1" applyBorder="1" applyAlignment="1">
      <alignment horizontal="center"/>
    </xf>
    <xf numFmtId="49" fontId="46" fillId="35" borderId="21" xfId="0" applyNumberFormat="1" applyFont="1" applyFill="1" applyBorder="1" applyAlignment="1">
      <alignment horizontal="center"/>
    </xf>
    <xf numFmtId="9" fontId="46" fillId="35" borderId="11" xfId="0" applyNumberFormat="1" applyFont="1" applyFill="1" applyBorder="1" applyAlignment="1">
      <alignment horizontal="center" vertical="center"/>
    </xf>
    <xf numFmtId="9" fontId="46" fillId="35" borderId="18" xfId="0" applyNumberFormat="1" applyFont="1" applyFill="1" applyBorder="1" applyAlignment="1">
      <alignment horizontal="center" vertical="center"/>
    </xf>
    <xf numFmtId="49" fontId="46" fillId="0" borderId="11" xfId="0" applyNumberFormat="1" applyFont="1" applyFill="1" applyBorder="1" applyAlignment="1">
      <alignment horizontal="center"/>
    </xf>
    <xf numFmtId="0" fontId="46" fillId="0" borderId="18" xfId="0" applyFont="1" applyFill="1" applyBorder="1" applyAlignment="1">
      <alignment horizontal="center"/>
    </xf>
    <xf numFmtId="2" fontId="47" fillId="0" borderId="10" xfId="0" applyNumberFormat="1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0" borderId="10" xfId="0" applyFont="1" applyFill="1" applyBorder="1" applyAlignment="1">
      <alignment horizontal="center" vertical="center"/>
    </xf>
    <xf numFmtId="2" fontId="46" fillId="0" borderId="10" xfId="0" applyNumberFormat="1" applyFont="1" applyBorder="1" applyAlignment="1">
      <alignment horizontal="center" vertical="center" wrapText="1"/>
    </xf>
    <xf numFmtId="4" fontId="47" fillId="36" borderId="12" xfId="0" applyNumberFormat="1" applyFont="1" applyFill="1" applyBorder="1" applyAlignment="1">
      <alignment horizontal="center" vertical="center" wrapText="1"/>
    </xf>
    <xf numFmtId="4" fontId="47" fillId="36" borderId="10" xfId="0" applyNumberFormat="1" applyFont="1" applyFill="1" applyBorder="1" applyAlignment="1">
      <alignment horizontal="center" vertical="center" wrapText="1"/>
    </xf>
    <xf numFmtId="4" fontId="47" fillId="36" borderId="13" xfId="0" applyNumberFormat="1" applyFont="1" applyFill="1" applyBorder="1" applyAlignment="1">
      <alignment horizontal="center" vertical="center" wrapText="1"/>
    </xf>
    <xf numFmtId="4" fontId="3" fillId="36" borderId="12" xfId="0" applyNumberFormat="1" applyFont="1" applyFill="1" applyBorder="1" applyAlignment="1">
      <alignment horizontal="center" vertical="center" wrapText="1"/>
    </xf>
    <xf numFmtId="4" fontId="3" fillId="36" borderId="15" xfId="0" applyNumberFormat="1" applyFont="1" applyFill="1" applyBorder="1" applyAlignment="1">
      <alignment horizontal="center" vertical="center" wrapText="1"/>
    </xf>
    <xf numFmtId="4" fontId="3" fillId="36" borderId="10" xfId="0" applyNumberFormat="1" applyFont="1" applyFill="1" applyBorder="1" applyAlignment="1">
      <alignment horizontal="center" vertical="center" wrapText="1"/>
    </xf>
    <xf numFmtId="4" fontId="3" fillId="36" borderId="11" xfId="0" applyNumberFormat="1" applyFont="1" applyFill="1" applyBorder="1" applyAlignment="1">
      <alignment horizontal="center" vertical="center" wrapText="1"/>
    </xf>
    <xf numFmtId="4" fontId="3" fillId="36" borderId="13" xfId="0" applyNumberFormat="1" applyFont="1" applyFill="1" applyBorder="1" applyAlignment="1">
      <alignment horizontal="center" vertical="center" wrapText="1"/>
    </xf>
    <xf numFmtId="4" fontId="3" fillId="36" borderId="18" xfId="0" applyNumberFormat="1" applyFont="1" applyFill="1" applyBorder="1" applyAlignment="1">
      <alignment horizontal="center" vertical="center" wrapText="1"/>
    </xf>
    <xf numFmtId="0" fontId="47" fillId="36" borderId="13" xfId="0" applyFont="1" applyFill="1" applyBorder="1" applyAlignment="1">
      <alignment horizontal="center" wrapText="1"/>
    </xf>
    <xf numFmtId="0" fontId="3" fillId="36" borderId="13" xfId="0" applyFont="1" applyFill="1" applyBorder="1" applyAlignment="1">
      <alignment horizontal="center" wrapText="1"/>
    </xf>
    <xf numFmtId="0" fontId="3" fillId="36" borderId="18" xfId="0" applyFont="1" applyFill="1" applyBorder="1" applyAlignment="1">
      <alignment horizontal="center" wrapText="1"/>
    </xf>
    <xf numFmtId="4" fontId="47" fillId="36" borderId="10" xfId="0" applyNumberFormat="1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1" fontId="4" fillId="0" borderId="22" xfId="0" applyNumberFormat="1" applyFont="1" applyBorder="1" applyAlignment="1">
      <alignment horizontal="center"/>
    </xf>
    <xf numFmtId="49" fontId="4" fillId="0" borderId="15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9" fontId="46" fillId="34" borderId="16" xfId="0" applyNumberFormat="1" applyFont="1" applyFill="1" applyBorder="1" applyAlignment="1">
      <alignment horizontal="center" vertical="center" wrapText="1"/>
    </xf>
    <xf numFmtId="49" fontId="46" fillId="34" borderId="23" xfId="0" applyNumberFormat="1" applyFont="1" applyFill="1" applyBorder="1" applyAlignment="1">
      <alignment horizontal="center" vertical="center" wrapText="1"/>
    </xf>
    <xf numFmtId="49" fontId="46" fillId="34" borderId="17" xfId="0" applyNumberFormat="1" applyFont="1" applyFill="1" applyBorder="1" applyAlignment="1">
      <alignment horizontal="center" vertical="center" wrapText="1"/>
    </xf>
    <xf numFmtId="49" fontId="46" fillId="34" borderId="12" xfId="0" applyNumberFormat="1" applyFont="1" applyFill="1" applyBorder="1" applyAlignment="1">
      <alignment horizontal="center"/>
    </xf>
    <xf numFmtId="49" fontId="46" fillId="34" borderId="10" xfId="0" applyNumberFormat="1" applyFont="1" applyFill="1" applyBorder="1" applyAlignment="1">
      <alignment horizontal="center"/>
    </xf>
    <xf numFmtId="49" fontId="46" fillId="34" borderId="13" xfId="0" applyNumberFormat="1" applyFont="1" applyFill="1" applyBorder="1" applyAlignment="1">
      <alignment horizontal="center"/>
    </xf>
    <xf numFmtId="49" fontId="46" fillId="34" borderId="14" xfId="0" applyNumberFormat="1" applyFont="1" applyFill="1" applyBorder="1" applyAlignment="1">
      <alignment horizontal="center" vertical="center" wrapText="1"/>
    </xf>
    <xf numFmtId="0" fontId="46" fillId="34" borderId="16" xfId="0" applyFont="1" applyFill="1" applyBorder="1" applyAlignment="1">
      <alignment horizontal="center" vertical="center" wrapText="1"/>
    </xf>
    <xf numFmtId="0" fontId="46" fillId="34" borderId="12" xfId="0" applyFont="1" applyFill="1" applyBorder="1" applyAlignment="1">
      <alignment horizontal="center" vertical="center" wrapText="1"/>
    </xf>
    <xf numFmtId="0" fontId="46" fillId="0" borderId="0" xfId="0" applyFont="1" applyAlignment="1">
      <alignment horizontal="left" vertical="center" wrapText="1"/>
    </xf>
    <xf numFmtId="0" fontId="48" fillId="0" borderId="0" xfId="0" applyFont="1" applyAlignment="1">
      <alignment horizontal="left" wrapText="1"/>
    </xf>
    <xf numFmtId="0" fontId="46" fillId="34" borderId="16" xfId="0" applyFont="1" applyFill="1" applyBorder="1" applyAlignment="1">
      <alignment horizontal="center" vertical="center"/>
    </xf>
    <xf numFmtId="0" fontId="46" fillId="34" borderId="23" xfId="0" applyFont="1" applyFill="1" applyBorder="1" applyAlignment="1">
      <alignment horizontal="center" vertical="center"/>
    </xf>
    <xf numFmtId="0" fontId="46" fillId="34" borderId="17" xfId="0" applyFont="1" applyFill="1" applyBorder="1" applyAlignment="1">
      <alignment horizontal="center" vertical="center"/>
    </xf>
    <xf numFmtId="49" fontId="46" fillId="34" borderId="10" xfId="0" applyNumberFormat="1" applyFont="1" applyFill="1" applyBorder="1" applyAlignment="1">
      <alignment horizontal="center" vertical="center" wrapText="1"/>
    </xf>
    <xf numFmtId="0" fontId="46" fillId="34" borderId="24" xfId="0" applyFont="1" applyFill="1" applyBorder="1" applyAlignment="1">
      <alignment horizontal="center" vertical="center" wrapText="1"/>
    </xf>
    <xf numFmtId="0" fontId="46" fillId="34" borderId="25" xfId="0" applyFont="1" applyFill="1" applyBorder="1" applyAlignment="1">
      <alignment horizontal="center" vertical="center" wrapText="1"/>
    </xf>
    <xf numFmtId="49" fontId="46" fillId="34" borderId="26" xfId="0" applyNumberFormat="1" applyFont="1" applyFill="1" applyBorder="1" applyAlignment="1">
      <alignment horizontal="center" vertical="center" wrapText="1"/>
    </xf>
    <xf numFmtId="49" fontId="46" fillId="34" borderId="27" xfId="0" applyNumberFormat="1" applyFont="1" applyFill="1" applyBorder="1" applyAlignment="1">
      <alignment horizontal="center" vertical="center" wrapText="1"/>
    </xf>
    <xf numFmtId="2" fontId="47" fillId="0" borderId="20" xfId="0" applyNumberFormat="1" applyFont="1" applyFill="1" applyBorder="1" applyAlignment="1">
      <alignment horizontal="center" vertical="center" wrapText="1"/>
    </xf>
    <xf numFmtId="2" fontId="47" fillId="0" borderId="28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left" vertical="top" wrapText="1"/>
    </xf>
    <xf numFmtId="0" fontId="47" fillId="0" borderId="20" xfId="0" applyFont="1" applyFill="1" applyBorder="1" applyAlignment="1">
      <alignment horizontal="left" vertical="top" wrapText="1"/>
    </xf>
    <xf numFmtId="0" fontId="47" fillId="0" borderId="28" xfId="0" applyFont="1" applyFill="1" applyBorder="1" applyAlignment="1">
      <alignment horizontal="left" vertical="top" wrapText="1"/>
    </xf>
    <xf numFmtId="0" fontId="48" fillId="0" borderId="0" xfId="0" applyFont="1" applyFill="1" applyAlignment="1">
      <alignment horizontal="left" wrapText="1"/>
    </xf>
    <xf numFmtId="0" fontId="47" fillId="0" borderId="10" xfId="0" applyFont="1" applyFill="1" applyBorder="1" applyAlignment="1">
      <alignment horizontal="center" vertical="top" wrapText="1"/>
    </xf>
    <xf numFmtId="0" fontId="47" fillId="0" borderId="0" xfId="0" applyFont="1" applyFill="1" applyAlignment="1">
      <alignment horizontal="justify" wrapText="1"/>
    </xf>
    <xf numFmtId="0" fontId="46" fillId="0" borderId="0" xfId="0" applyFont="1" applyFill="1" applyAlignment="1">
      <alignment wrapText="1"/>
    </xf>
    <xf numFmtId="0" fontId="47" fillId="0" borderId="0" xfId="0" applyFont="1" applyFill="1" applyAlignment="1">
      <alignment wrapText="1"/>
    </xf>
    <xf numFmtId="0" fontId="47" fillId="0" borderId="0" xfId="0" applyFont="1" applyFill="1" applyAlignment="1">
      <alignment horizontal="left" wrapText="1"/>
    </xf>
    <xf numFmtId="0" fontId="47" fillId="0" borderId="20" xfId="0" applyFont="1" applyFill="1" applyBorder="1" applyAlignment="1">
      <alignment horizontal="center" vertical="top" wrapText="1"/>
    </xf>
    <xf numFmtId="0" fontId="47" fillId="0" borderId="28" xfId="0" applyFont="1" applyFill="1" applyBorder="1" applyAlignment="1">
      <alignment horizontal="center" vertical="top" wrapText="1"/>
    </xf>
    <xf numFmtId="0" fontId="51" fillId="0" borderId="0" xfId="0" applyFont="1" applyFill="1" applyAlignment="1">
      <alignment horizontal="left" wrapText="1"/>
    </xf>
    <xf numFmtId="0" fontId="47" fillId="0" borderId="0" xfId="0" applyFont="1" applyAlignment="1">
      <alignment horizontal="center" wrapText="1"/>
    </xf>
    <xf numFmtId="0" fontId="46" fillId="0" borderId="0" xfId="0" applyFont="1" applyAlignment="1">
      <alignment wrapText="1"/>
    </xf>
    <xf numFmtId="0" fontId="47" fillId="0" borderId="0" xfId="0" applyFont="1" applyAlignment="1">
      <alignment horizontal="left" vertical="center" wrapText="1"/>
    </xf>
    <xf numFmtId="0" fontId="47" fillId="33" borderId="10" xfId="0" applyFont="1" applyFill="1" applyBorder="1" applyAlignment="1">
      <alignment horizontal="center" vertical="top" wrapText="1"/>
    </xf>
    <xf numFmtId="0" fontId="51" fillId="0" borderId="0" xfId="0" applyFont="1" applyAlignment="1">
      <alignment horizontal="left" vertical="center" wrapText="1"/>
    </xf>
    <xf numFmtId="4" fontId="47" fillId="36" borderId="19" xfId="0" applyNumberFormat="1" applyFont="1" applyFill="1" applyBorder="1" applyAlignment="1">
      <alignment horizontal="center" vertical="center" wrapText="1"/>
    </xf>
    <xf numFmtId="4" fontId="47" fillId="36" borderId="29" xfId="0" applyNumberFormat="1" applyFont="1" applyFill="1" applyBorder="1" applyAlignment="1">
      <alignment horizontal="center" vertical="center" wrapText="1"/>
    </xf>
    <xf numFmtId="3" fontId="47" fillId="36" borderId="10" xfId="0" applyNumberFormat="1" applyFont="1" applyFill="1" applyBorder="1" applyAlignment="1">
      <alignment horizontal="center" vertical="center" wrapText="1"/>
    </xf>
    <xf numFmtId="0" fontId="47" fillId="36" borderId="10" xfId="0" applyFont="1" applyFill="1" applyBorder="1" applyAlignment="1">
      <alignment horizontal="center" wrapText="1"/>
    </xf>
    <xf numFmtId="0" fontId="47" fillId="33" borderId="12" xfId="0" applyFont="1" applyFill="1" applyBorder="1" applyAlignment="1">
      <alignment horizontal="center" vertical="top" wrapText="1"/>
    </xf>
    <xf numFmtId="0" fontId="47" fillId="33" borderId="13" xfId="0" applyFont="1" applyFill="1" applyBorder="1" applyAlignment="1">
      <alignment horizontal="center" vertical="top" wrapText="1"/>
    </xf>
    <xf numFmtId="0" fontId="3" fillId="36" borderId="12" xfId="0" applyFont="1" applyFill="1" applyBorder="1" applyAlignment="1">
      <alignment horizontal="center" wrapText="1"/>
    </xf>
    <xf numFmtId="0" fontId="3" fillId="36" borderId="10" xfId="0" applyFont="1" applyFill="1" applyBorder="1" applyAlignment="1">
      <alignment horizontal="center" wrapText="1"/>
    </xf>
    <xf numFmtId="0" fontId="47" fillId="36" borderId="12" xfId="0" applyFont="1" applyFill="1" applyBorder="1" applyAlignment="1">
      <alignment horizontal="center" wrapText="1"/>
    </xf>
    <xf numFmtId="0" fontId="47" fillId="33" borderId="16" xfId="0" applyFont="1" applyFill="1" applyBorder="1" applyAlignment="1">
      <alignment horizontal="center" vertical="top" wrapText="1"/>
    </xf>
    <xf numFmtId="0" fontId="47" fillId="33" borderId="23" xfId="0" applyFont="1" applyFill="1" applyBorder="1" applyAlignment="1">
      <alignment horizontal="center" vertical="top" wrapText="1"/>
    </xf>
    <xf numFmtId="0" fontId="47" fillId="33" borderId="17" xfId="0" applyFont="1" applyFill="1" applyBorder="1" applyAlignment="1">
      <alignment horizontal="center" vertical="top" wrapText="1"/>
    </xf>
    <xf numFmtId="0" fontId="0" fillId="36" borderId="10" xfId="0" applyFill="1" applyBorder="1" applyAlignment="1">
      <alignment/>
    </xf>
    <xf numFmtId="0" fontId="47" fillId="33" borderId="20" xfId="0" applyFont="1" applyFill="1" applyBorder="1" applyAlignment="1">
      <alignment horizontal="center" vertical="top" wrapText="1"/>
    </xf>
    <xf numFmtId="0" fontId="47" fillId="33" borderId="30" xfId="0" applyFont="1" applyFill="1" applyBorder="1" applyAlignment="1">
      <alignment horizontal="center" vertical="top" wrapText="1"/>
    </xf>
    <xf numFmtId="0" fontId="47" fillId="33" borderId="28" xfId="0" applyFont="1" applyFill="1" applyBorder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46" fillId="0" borderId="0" xfId="0" applyFont="1" applyAlignment="1">
      <alignment horizontal="left" vertical="top" wrapText="1"/>
    </xf>
    <xf numFmtId="0" fontId="3" fillId="36" borderId="15" xfId="0" applyFont="1" applyFill="1" applyBorder="1" applyAlignment="1">
      <alignment horizontal="center" wrapText="1"/>
    </xf>
    <xf numFmtId="0" fontId="3" fillId="36" borderId="11" xfId="0" applyFont="1" applyFill="1" applyBorder="1" applyAlignment="1">
      <alignment horizontal="center" wrapText="1"/>
    </xf>
    <xf numFmtId="0" fontId="52" fillId="0" borderId="0" xfId="0" applyFont="1" applyAlignment="1">
      <alignment horizontal="left" vertical="center" wrapText="1"/>
    </xf>
    <xf numFmtId="0" fontId="53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28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31" xfId="0" applyFont="1" applyBorder="1" applyAlignment="1">
      <alignment horizontal="center" vertical="center" wrapText="1"/>
    </xf>
    <xf numFmtId="0" fontId="49" fillId="0" borderId="0" xfId="0" applyFont="1" applyAlignment="1">
      <alignment horizontal="left" vertical="center" wrapText="1"/>
    </xf>
    <xf numFmtId="0" fontId="46" fillId="33" borderId="10" xfId="0" applyFont="1" applyFill="1" applyBorder="1" applyAlignment="1">
      <alignment horizontal="center" vertical="center" wrapText="1"/>
    </xf>
    <xf numFmtId="16" fontId="46" fillId="0" borderId="0" xfId="0" applyNumberFormat="1" applyFont="1" applyAlignment="1">
      <alignment horizontal="left" vertical="top" wrapText="1"/>
    </xf>
    <xf numFmtId="0" fontId="49" fillId="0" borderId="0" xfId="0" applyFont="1" applyAlignment="1">
      <alignment horizontal="left" vertical="top" wrapText="1"/>
    </xf>
    <xf numFmtId="16" fontId="49" fillId="0" borderId="0" xfId="0" applyNumberFormat="1" applyFont="1" applyAlignment="1">
      <alignment horizontal="left" vertical="top" wrapText="1"/>
    </xf>
    <xf numFmtId="0" fontId="46" fillId="0" borderId="10" xfId="0" applyFont="1" applyBorder="1" applyAlignment="1">
      <alignment horizontal="center" vertical="center" wrapText="1"/>
    </xf>
    <xf numFmtId="49" fontId="46" fillId="0" borderId="10" xfId="0" applyNumberFormat="1" applyFont="1" applyBorder="1" applyAlignment="1">
      <alignment horizontal="center" vertical="center" wrapText="1"/>
    </xf>
    <xf numFmtId="0" fontId="46" fillId="36" borderId="10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1485900</xdr:colOff>
      <xdr:row>6</xdr:row>
      <xdr:rowOff>142875</xdr:rowOff>
    </xdr:from>
    <xdr:to>
      <xdr:col>1</xdr:col>
      <xdr:colOff>1895475</xdr:colOff>
      <xdr:row>7</xdr:row>
      <xdr:rowOff>47625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33575" y="1533525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581025</xdr:colOff>
      <xdr:row>12</xdr:row>
      <xdr:rowOff>171450</xdr:rowOff>
    </xdr:from>
    <xdr:to>
      <xdr:col>1</xdr:col>
      <xdr:colOff>962025</xdr:colOff>
      <xdr:row>13</xdr:row>
      <xdr:rowOff>66675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8700" y="2743200"/>
          <a:ext cx="371475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1666875</xdr:colOff>
      <xdr:row>18</xdr:row>
      <xdr:rowOff>647700</xdr:rowOff>
    </xdr:from>
    <xdr:to>
      <xdr:col>1</xdr:col>
      <xdr:colOff>2466975</xdr:colOff>
      <xdr:row>19</xdr:row>
      <xdr:rowOff>85725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14550" y="4400550"/>
          <a:ext cx="8001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257175</xdr:colOff>
      <xdr:row>24</xdr:row>
      <xdr:rowOff>628650</xdr:rowOff>
    </xdr:from>
    <xdr:to>
      <xdr:col>1</xdr:col>
      <xdr:colOff>857250</xdr:colOff>
      <xdr:row>25</xdr:row>
      <xdr:rowOff>47625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6048375"/>
          <a:ext cx="6000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35</xdr:row>
      <xdr:rowOff>1257300</xdr:rowOff>
    </xdr:from>
    <xdr:to>
      <xdr:col>2</xdr:col>
      <xdr:colOff>485775</xdr:colOff>
      <xdr:row>35</xdr:row>
      <xdr:rowOff>1485900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10029825"/>
          <a:ext cx="4095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35</xdr:row>
      <xdr:rowOff>1285875</xdr:rowOff>
    </xdr:from>
    <xdr:to>
      <xdr:col>6</xdr:col>
      <xdr:colOff>381000</xdr:colOff>
      <xdr:row>35</xdr:row>
      <xdr:rowOff>1514475</xdr:rowOff>
    </xdr:to>
    <xdr:pic>
      <xdr:nvPicPr>
        <xdr:cNvPr id="6" name="Picture 1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96150" y="10058400"/>
          <a:ext cx="3810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28575</xdr:colOff>
      <xdr:row>35</xdr:row>
      <xdr:rowOff>1371600</xdr:rowOff>
    </xdr:from>
    <xdr:to>
      <xdr:col>11</xdr:col>
      <xdr:colOff>19050</xdr:colOff>
      <xdr:row>35</xdr:row>
      <xdr:rowOff>1609725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763125" y="10144125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14</xdr:col>
      <xdr:colOff>9525</xdr:colOff>
      <xdr:row>35</xdr:row>
      <xdr:rowOff>1400175</xdr:rowOff>
    </xdr:from>
    <xdr:to>
      <xdr:col>15</xdr:col>
      <xdr:colOff>0</xdr:colOff>
      <xdr:row>35</xdr:row>
      <xdr:rowOff>1638300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2182475" y="10172700"/>
          <a:ext cx="6000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5"/>
  <sheetViews>
    <sheetView tabSelected="1" zoomScaleSheetLayoutView="100" zoomScalePageLayoutView="0" workbookViewId="0" topLeftCell="A1">
      <selection activeCell="G34" sqref="G34"/>
    </sheetView>
  </sheetViews>
  <sheetFormatPr defaultColWidth="9.140625" defaultRowHeight="15"/>
  <cols>
    <col min="1" max="1" width="25.8515625" style="44" customWidth="1"/>
    <col min="2" max="2" width="15.421875" style="44" customWidth="1"/>
    <col min="3" max="3" width="15.28125" style="44" customWidth="1"/>
    <col min="4" max="4" width="13.8515625" style="44" customWidth="1"/>
    <col min="5" max="5" width="13.28125" style="1" customWidth="1"/>
    <col min="6" max="6" width="13.8515625" style="1" customWidth="1"/>
    <col min="7" max="7" width="13.140625" style="1" customWidth="1"/>
    <col min="8" max="8" width="11.7109375" style="1" customWidth="1"/>
    <col min="9" max="9" width="12.57421875" style="1" customWidth="1"/>
    <col min="10" max="10" width="12.8515625" style="1" customWidth="1"/>
    <col min="11" max="11" width="11.57421875" style="1" customWidth="1"/>
    <col min="12" max="12" width="12.57421875" style="1" customWidth="1"/>
    <col min="13" max="13" width="14.421875" style="1" customWidth="1"/>
    <col min="14" max="14" width="11.57421875" style="1" customWidth="1"/>
    <col min="15" max="15" width="12.57421875" style="1" customWidth="1"/>
    <col min="16" max="16384" width="9.140625" style="1" customWidth="1"/>
  </cols>
  <sheetData>
    <row r="1" spans="1:18" ht="15.75">
      <c r="A1" s="134" t="s">
        <v>208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</row>
    <row r="2" ht="15"/>
    <row r="3" spans="1:24" s="40" customFormat="1" ht="45.75" customHeight="1" thickBot="1">
      <c r="A3" s="133" t="s">
        <v>202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5"/>
      <c r="P3" s="5"/>
      <c r="Q3" s="5"/>
      <c r="R3" s="5"/>
      <c r="S3" s="5"/>
      <c r="T3" s="5"/>
      <c r="U3" s="5"/>
      <c r="V3" s="5"/>
      <c r="W3" s="5"/>
      <c r="X3" s="5"/>
    </row>
    <row r="4" spans="1:6" ht="15">
      <c r="A4" s="138" t="s">
        <v>204</v>
      </c>
      <c r="B4" s="130" t="s">
        <v>50</v>
      </c>
      <c r="C4" s="135" t="s">
        <v>262</v>
      </c>
      <c r="D4" s="136"/>
      <c r="E4" s="136"/>
      <c r="F4" s="137"/>
    </row>
    <row r="5" spans="1:6" s="41" customFormat="1" ht="15">
      <c r="A5" s="138"/>
      <c r="B5" s="130"/>
      <c r="C5" s="49" t="s">
        <v>19</v>
      </c>
      <c r="D5" s="50" t="s">
        <v>20</v>
      </c>
      <c r="E5" s="51" t="s">
        <v>21</v>
      </c>
      <c r="F5" s="52" t="s">
        <v>22</v>
      </c>
    </row>
    <row r="6" spans="1:6" s="41" customFormat="1" ht="15">
      <c r="A6" s="53" t="s">
        <v>154</v>
      </c>
      <c r="B6" s="54" t="s">
        <v>139</v>
      </c>
      <c r="C6" s="55" t="s">
        <v>148</v>
      </c>
      <c r="D6" s="53" t="s">
        <v>155</v>
      </c>
      <c r="E6" s="53" t="s">
        <v>244</v>
      </c>
      <c r="F6" s="56" t="s">
        <v>245</v>
      </c>
    </row>
    <row r="7" spans="1:6" ht="15">
      <c r="A7" s="42" t="s">
        <v>203</v>
      </c>
      <c r="B7" s="39" t="s">
        <v>246</v>
      </c>
      <c r="C7" s="36" t="s">
        <v>153</v>
      </c>
      <c r="D7" s="37" t="s">
        <v>153</v>
      </c>
      <c r="E7" s="59">
        <v>264</v>
      </c>
      <c r="F7" s="60">
        <v>451</v>
      </c>
    </row>
    <row r="8" spans="1:6" ht="15.75" thickBot="1">
      <c r="A8" s="42" t="s">
        <v>234</v>
      </c>
      <c r="B8" s="39" t="s">
        <v>246</v>
      </c>
      <c r="C8" s="43" t="s">
        <v>153</v>
      </c>
      <c r="D8" s="29" t="s">
        <v>153</v>
      </c>
      <c r="E8" s="61">
        <v>13</v>
      </c>
      <c r="F8" s="62">
        <v>975</v>
      </c>
    </row>
    <row r="9" ht="15">
      <c r="A9" s="70" t="s">
        <v>263</v>
      </c>
    </row>
    <row r="10" ht="15">
      <c r="A10" s="28"/>
    </row>
    <row r="11" spans="1:14" s="45" customFormat="1" ht="60" customHeight="1" thickBot="1">
      <c r="A11" s="133" t="s">
        <v>205</v>
      </c>
      <c r="B11" s="133"/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</row>
    <row r="12" spans="1:10" s="46" customFormat="1" ht="54.75">
      <c r="A12" s="139" t="s">
        <v>204</v>
      </c>
      <c r="B12" s="57" t="s">
        <v>206</v>
      </c>
      <c r="C12" s="58" t="s">
        <v>207</v>
      </c>
      <c r="D12" s="4"/>
      <c r="E12" s="4"/>
      <c r="F12" s="4"/>
      <c r="G12" s="4"/>
      <c r="H12" s="4"/>
      <c r="I12" s="4"/>
      <c r="J12" s="4"/>
    </row>
    <row r="13" spans="1:10" s="46" customFormat="1" ht="15" customHeight="1">
      <c r="A13" s="140"/>
      <c r="B13" s="141" t="s">
        <v>262</v>
      </c>
      <c r="C13" s="142"/>
      <c r="D13" s="4"/>
      <c r="E13" s="4"/>
      <c r="F13" s="4"/>
      <c r="G13" s="4"/>
      <c r="H13" s="4"/>
      <c r="I13" s="4"/>
      <c r="J13" s="4"/>
    </row>
    <row r="14" spans="1:10" s="46" customFormat="1" ht="13.5">
      <c r="A14" s="54" t="s">
        <v>154</v>
      </c>
      <c r="B14" s="55" t="s">
        <v>139</v>
      </c>
      <c r="C14" s="56" t="s">
        <v>148</v>
      </c>
      <c r="D14" s="4"/>
      <c r="E14" s="4"/>
      <c r="F14" s="4"/>
      <c r="G14" s="4"/>
      <c r="H14" s="4"/>
      <c r="I14" s="4"/>
      <c r="J14" s="4"/>
    </row>
    <row r="15" spans="1:4" ht="13.5">
      <c r="A15" s="47" t="s">
        <v>203</v>
      </c>
      <c r="B15" s="119">
        <v>715</v>
      </c>
      <c r="C15" s="120">
        <v>715</v>
      </c>
      <c r="D15" s="1"/>
    </row>
    <row r="16" spans="1:4" ht="13.5">
      <c r="A16" s="42" t="s">
        <v>247</v>
      </c>
      <c r="B16" s="119">
        <v>988</v>
      </c>
      <c r="C16" s="120">
        <v>988</v>
      </c>
      <c r="D16" s="1"/>
    </row>
    <row r="17" spans="1:4" ht="13.5">
      <c r="A17" s="47" t="s">
        <v>252</v>
      </c>
      <c r="B17" s="119">
        <v>3</v>
      </c>
      <c r="C17" s="121">
        <v>3</v>
      </c>
      <c r="D17" s="1"/>
    </row>
    <row r="18" spans="1:4" ht="13.5">
      <c r="A18" s="47" t="s">
        <v>248</v>
      </c>
      <c r="B18" s="119">
        <v>561</v>
      </c>
      <c r="C18" s="121">
        <v>561</v>
      </c>
      <c r="D18" s="1"/>
    </row>
    <row r="19" spans="1:4" ht="13.5">
      <c r="A19" s="47" t="s">
        <v>249</v>
      </c>
      <c r="B19" s="119">
        <v>424</v>
      </c>
      <c r="C19" s="121">
        <v>424</v>
      </c>
      <c r="D19" s="1"/>
    </row>
    <row r="20" spans="1:4" ht="14.25" thickBot="1">
      <c r="A20" s="47" t="s">
        <v>250</v>
      </c>
      <c r="B20" s="122" t="s">
        <v>251</v>
      </c>
      <c r="C20" s="123">
        <v>0</v>
      </c>
      <c r="D20" s="1"/>
    </row>
    <row r="21" ht="13.5">
      <c r="A21" s="70" t="s">
        <v>263</v>
      </c>
    </row>
    <row r="23" spans="1:14" ht="39.75" customHeight="1" thickBot="1">
      <c r="A23" s="133" t="s">
        <v>209</v>
      </c>
      <c r="B23" s="133"/>
      <c r="C23" s="133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33"/>
    </row>
    <row r="24" spans="1:5" s="4" customFormat="1" ht="15" customHeight="1">
      <c r="A24" s="131" t="s">
        <v>210</v>
      </c>
      <c r="B24" s="125" t="s">
        <v>211</v>
      </c>
      <c r="C24" s="125"/>
      <c r="D24" s="125" t="s">
        <v>212</v>
      </c>
      <c r="E24" s="126"/>
    </row>
    <row r="25" spans="1:5" ht="13.5">
      <c r="A25" s="132"/>
      <c r="B25" s="63" t="s">
        <v>214</v>
      </c>
      <c r="C25" s="63" t="s">
        <v>213</v>
      </c>
      <c r="D25" s="63" t="s">
        <v>214</v>
      </c>
      <c r="E25" s="64" t="s">
        <v>213</v>
      </c>
    </row>
    <row r="26" spans="1:8" ht="13.5">
      <c r="A26" s="127" t="s">
        <v>262</v>
      </c>
      <c r="B26" s="128"/>
      <c r="C26" s="128"/>
      <c r="D26" s="128"/>
      <c r="E26" s="129"/>
      <c r="H26" s="41"/>
    </row>
    <row r="27" spans="1:14" s="41" customFormat="1" ht="14.25" thickBot="1">
      <c r="A27" s="92">
        <v>70</v>
      </c>
      <c r="B27" s="98" t="s">
        <v>258</v>
      </c>
      <c r="C27" s="98" t="s">
        <v>259</v>
      </c>
      <c r="D27" s="98" t="s">
        <v>265</v>
      </c>
      <c r="E27" s="99">
        <v>77.622</v>
      </c>
      <c r="I27" s="1"/>
      <c r="J27" s="1"/>
      <c r="K27" s="1"/>
      <c r="L27" s="1"/>
      <c r="M27" s="1"/>
      <c r="N27" s="1"/>
    </row>
    <row r="28" spans="1:14" s="41" customFormat="1" ht="13.5">
      <c r="A28" s="70" t="s">
        <v>264</v>
      </c>
      <c r="B28" s="48"/>
      <c r="C28" s="48"/>
      <c r="D28" s="48"/>
      <c r="I28" s="1"/>
      <c r="J28" s="1"/>
      <c r="K28" s="1"/>
      <c r="L28" s="1"/>
      <c r="M28" s="1"/>
      <c r="N28" s="1"/>
    </row>
    <row r="30" spans="1:14" ht="35.25" customHeight="1" thickBot="1">
      <c r="A30" s="133" t="s">
        <v>215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</row>
    <row r="31" spans="1:5" s="46" customFormat="1" ht="15" customHeight="1">
      <c r="A31" s="130" t="s">
        <v>217</v>
      </c>
      <c r="B31" s="124" t="s">
        <v>216</v>
      </c>
      <c r="C31" s="125"/>
      <c r="D31" s="125"/>
      <c r="E31" s="126"/>
    </row>
    <row r="32" spans="1:5" s="41" customFormat="1" ht="13.5">
      <c r="A32" s="130"/>
      <c r="B32" s="65" t="s">
        <v>19</v>
      </c>
      <c r="C32" s="63" t="s">
        <v>20</v>
      </c>
      <c r="D32" s="63" t="s">
        <v>21</v>
      </c>
      <c r="E32" s="66" t="s">
        <v>22</v>
      </c>
    </row>
    <row r="33" spans="1:5" ht="13.5">
      <c r="A33" s="130"/>
      <c r="B33" s="127" t="s">
        <v>262</v>
      </c>
      <c r="C33" s="128"/>
      <c r="D33" s="128"/>
      <c r="E33" s="129"/>
    </row>
    <row r="34" spans="1:5" ht="13.5">
      <c r="A34" s="38" t="s">
        <v>224</v>
      </c>
      <c r="B34" s="71" t="s">
        <v>153</v>
      </c>
      <c r="C34" s="72" t="s">
        <v>153</v>
      </c>
      <c r="D34" s="94"/>
      <c r="E34" s="95"/>
    </row>
    <row r="35" spans="1:5" ht="14.25" thickBot="1">
      <c r="A35" s="39" t="s">
        <v>225</v>
      </c>
      <c r="B35" s="92" t="s">
        <v>153</v>
      </c>
      <c r="C35" s="93" t="s">
        <v>153</v>
      </c>
      <c r="D35" s="96"/>
      <c r="E35" s="97"/>
    </row>
  </sheetData>
  <sheetProtection/>
  <mergeCells count="17">
    <mergeCell ref="A23:N23"/>
    <mergeCell ref="A1:R1"/>
    <mergeCell ref="C4:F4"/>
    <mergeCell ref="A4:A5"/>
    <mergeCell ref="B4:B5"/>
    <mergeCell ref="A3:N3"/>
    <mergeCell ref="A11:N11"/>
    <mergeCell ref="A12:A13"/>
    <mergeCell ref="B13:C13"/>
    <mergeCell ref="B31:E31"/>
    <mergeCell ref="B33:E33"/>
    <mergeCell ref="A31:A33"/>
    <mergeCell ref="A24:A25"/>
    <mergeCell ref="A26:E26"/>
    <mergeCell ref="B24:C24"/>
    <mergeCell ref="D24:E24"/>
    <mergeCell ref="A30:N30"/>
  </mergeCells>
  <printOptions/>
  <pageMargins left="0.7" right="0.7" top="0.75" bottom="0.75" header="0.3" footer="0.3"/>
  <pageSetup horizontalDpi="600" verticalDpi="600" orientation="landscape" paperSize="9" scale="62" r:id="rId3"/>
  <ignoredErrors>
    <ignoredError sqref="A6:B6 A14 B14:C14 C6:F6 B27:C27" numberStoredAsText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7"/>
  <sheetViews>
    <sheetView view="pageBreakPreview" zoomScale="115" zoomScaleSheetLayoutView="115" zoomScalePageLayoutView="0" workbookViewId="0" topLeftCell="A1">
      <selection activeCell="I11" sqref="I11"/>
    </sheetView>
  </sheetViews>
  <sheetFormatPr defaultColWidth="9.140625" defaultRowHeight="15"/>
  <cols>
    <col min="1" max="1" width="6.7109375" style="73" customWidth="1"/>
    <col min="2" max="2" width="53.8515625" style="73" customWidth="1"/>
    <col min="3" max="3" width="12.28125" style="73" customWidth="1"/>
    <col min="4" max="4" width="13.28125" style="73" customWidth="1"/>
    <col min="5" max="5" width="14.140625" style="73" customWidth="1"/>
    <col min="6" max="18" width="9.140625" style="73" customWidth="1"/>
    <col min="19" max="19" width="32.7109375" style="73" customWidth="1"/>
    <col min="20" max="20" width="34.421875" style="73" customWidth="1"/>
    <col min="21" max="16384" width="9.140625" style="73" customWidth="1"/>
  </cols>
  <sheetData>
    <row r="1" spans="1:13" ht="15.75" customHeight="1">
      <c r="A1" s="148" t="s">
        <v>222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74" customFormat="1" ht="12.75">
      <c r="A2" s="153" t="s">
        <v>120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</row>
    <row r="4" spans="1:5" ht="13.5">
      <c r="A4" s="149" t="s">
        <v>2</v>
      </c>
      <c r="B4" s="149" t="s">
        <v>0</v>
      </c>
      <c r="C4" s="149" t="s">
        <v>1</v>
      </c>
      <c r="D4" s="149"/>
      <c r="E4" s="149"/>
    </row>
    <row r="5" spans="1:5" ht="39">
      <c r="A5" s="149"/>
      <c r="B5" s="149"/>
      <c r="C5" s="75" t="s">
        <v>3</v>
      </c>
      <c r="D5" s="75" t="s">
        <v>4</v>
      </c>
      <c r="E5" s="75" t="s">
        <v>36</v>
      </c>
    </row>
    <row r="6" spans="1:5" ht="13.5">
      <c r="A6" s="75">
        <v>1</v>
      </c>
      <c r="B6" s="75">
        <v>2</v>
      </c>
      <c r="C6" s="75">
        <v>3</v>
      </c>
      <c r="D6" s="75">
        <v>4</v>
      </c>
      <c r="E6" s="75">
        <v>5</v>
      </c>
    </row>
    <row r="7" spans="1:5" ht="25.5" customHeight="1">
      <c r="A7" s="149">
        <v>1</v>
      </c>
      <c r="B7" s="145" t="s">
        <v>219</v>
      </c>
      <c r="C7" s="143">
        <v>25.5275</v>
      </c>
      <c r="D7" s="143">
        <v>5</v>
      </c>
      <c r="E7" s="143">
        <f>(C7-D7)/C7*100</f>
        <v>80.41327979629811</v>
      </c>
    </row>
    <row r="8" spans="1:5" ht="13.5">
      <c r="A8" s="149"/>
      <c r="B8" s="145"/>
      <c r="C8" s="144"/>
      <c r="D8" s="144"/>
      <c r="E8" s="144"/>
    </row>
    <row r="9" spans="1:5" ht="13.5">
      <c r="A9" s="76" t="s">
        <v>96</v>
      </c>
      <c r="B9" s="77" t="s">
        <v>6</v>
      </c>
      <c r="C9" s="80" t="s">
        <v>115</v>
      </c>
      <c r="D9" s="80" t="s">
        <v>115</v>
      </c>
      <c r="E9" s="80" t="s">
        <v>115</v>
      </c>
    </row>
    <row r="10" spans="1:5" ht="13.5">
      <c r="A10" s="76" t="s">
        <v>97</v>
      </c>
      <c r="B10" s="77" t="s">
        <v>7</v>
      </c>
      <c r="C10" s="80" t="s">
        <v>115</v>
      </c>
      <c r="D10" s="80" t="s">
        <v>115</v>
      </c>
      <c r="E10" s="80" t="s">
        <v>115</v>
      </c>
    </row>
    <row r="11" spans="1:5" ht="13.5">
      <c r="A11" s="76" t="s">
        <v>98</v>
      </c>
      <c r="B11" s="77" t="s">
        <v>8</v>
      </c>
      <c r="C11" s="79">
        <v>25.5275</v>
      </c>
      <c r="D11" s="79">
        <v>5</v>
      </c>
      <c r="E11" s="79">
        <f>(C11-D11)/C11*100</f>
        <v>80.41327979629811</v>
      </c>
    </row>
    <row r="12" spans="1:5" ht="13.5">
      <c r="A12" s="76" t="s">
        <v>99</v>
      </c>
      <c r="B12" s="77" t="s">
        <v>9</v>
      </c>
      <c r="C12" s="79">
        <v>25.5275</v>
      </c>
      <c r="D12" s="79">
        <v>5</v>
      </c>
      <c r="E12" s="79">
        <f>(C12-D12)/C12*100</f>
        <v>80.41327979629811</v>
      </c>
    </row>
    <row r="13" spans="1:5" ht="25.5" customHeight="1">
      <c r="A13" s="149">
        <v>2</v>
      </c>
      <c r="B13" s="145" t="s">
        <v>218</v>
      </c>
      <c r="C13" s="143">
        <v>11.25</v>
      </c>
      <c r="D13" s="143">
        <v>5</v>
      </c>
      <c r="E13" s="143">
        <f>(C13-D13)/C13*100</f>
        <v>55.55555555555556</v>
      </c>
    </row>
    <row r="14" spans="1:5" ht="13.5">
      <c r="A14" s="149"/>
      <c r="B14" s="145"/>
      <c r="C14" s="144"/>
      <c r="D14" s="144"/>
      <c r="E14" s="144"/>
    </row>
    <row r="15" spans="1:5" ht="13.5">
      <c r="A15" s="76" t="s">
        <v>100</v>
      </c>
      <c r="B15" s="77" t="s">
        <v>6</v>
      </c>
      <c r="C15" s="80" t="s">
        <v>115</v>
      </c>
      <c r="D15" s="80" t="s">
        <v>115</v>
      </c>
      <c r="E15" s="80" t="s">
        <v>115</v>
      </c>
    </row>
    <row r="16" spans="1:5" ht="13.5">
      <c r="A16" s="76" t="s">
        <v>101</v>
      </c>
      <c r="B16" s="77" t="s">
        <v>7</v>
      </c>
      <c r="C16" s="80" t="s">
        <v>115</v>
      </c>
      <c r="D16" s="80" t="s">
        <v>115</v>
      </c>
      <c r="E16" s="80" t="s">
        <v>115</v>
      </c>
    </row>
    <row r="17" spans="1:5" ht="13.5">
      <c r="A17" s="76" t="s">
        <v>102</v>
      </c>
      <c r="B17" s="77" t="s">
        <v>8</v>
      </c>
      <c r="C17" s="79">
        <v>11.25</v>
      </c>
      <c r="D17" s="79">
        <v>5</v>
      </c>
      <c r="E17" s="79">
        <f>(C17-D17)/C17*100</f>
        <v>55.55555555555556</v>
      </c>
    </row>
    <row r="18" spans="1:5" ht="13.5">
      <c r="A18" s="76" t="s">
        <v>103</v>
      </c>
      <c r="B18" s="77" t="s">
        <v>9</v>
      </c>
      <c r="C18" s="79">
        <v>11.25</v>
      </c>
      <c r="D18" s="79">
        <v>5</v>
      </c>
      <c r="E18" s="79">
        <f>(C18-D18)/C18*100</f>
        <v>55.55555555555556</v>
      </c>
    </row>
    <row r="19" spans="1:5" ht="63.75" customHeight="1">
      <c r="A19" s="154">
        <v>3</v>
      </c>
      <c r="B19" s="146" t="s">
        <v>220</v>
      </c>
      <c r="C19" s="143">
        <v>0</v>
      </c>
      <c r="D19" s="143">
        <v>0</v>
      </c>
      <c r="E19" s="143">
        <v>0</v>
      </c>
    </row>
    <row r="20" spans="1:5" ht="13.5">
      <c r="A20" s="155"/>
      <c r="B20" s="147"/>
      <c r="C20" s="144"/>
      <c r="D20" s="144"/>
      <c r="E20" s="144"/>
    </row>
    <row r="21" spans="1:5" ht="13.5">
      <c r="A21" s="76" t="s">
        <v>104</v>
      </c>
      <c r="B21" s="77" t="s">
        <v>6</v>
      </c>
      <c r="C21" s="80" t="s">
        <v>115</v>
      </c>
      <c r="D21" s="80" t="s">
        <v>115</v>
      </c>
      <c r="E21" s="80" t="s">
        <v>153</v>
      </c>
    </row>
    <row r="22" spans="1:5" ht="13.5">
      <c r="A22" s="76" t="s">
        <v>105</v>
      </c>
      <c r="B22" s="77" t="s">
        <v>7</v>
      </c>
      <c r="C22" s="80" t="s">
        <v>115</v>
      </c>
      <c r="D22" s="80" t="s">
        <v>115</v>
      </c>
      <c r="E22" s="80" t="s">
        <v>153</v>
      </c>
    </row>
    <row r="23" spans="1:5" ht="13.5">
      <c r="A23" s="76" t="s">
        <v>106</v>
      </c>
      <c r="B23" s="77" t="s">
        <v>8</v>
      </c>
      <c r="C23" s="79">
        <v>0</v>
      </c>
      <c r="D23" s="79">
        <v>0</v>
      </c>
      <c r="E23" s="79">
        <v>0</v>
      </c>
    </row>
    <row r="24" spans="1:5" ht="13.5">
      <c r="A24" s="76" t="s">
        <v>107</v>
      </c>
      <c r="B24" s="77" t="s">
        <v>9</v>
      </c>
      <c r="C24" s="79">
        <v>0</v>
      </c>
      <c r="D24" s="79">
        <v>0</v>
      </c>
      <c r="E24" s="79">
        <v>0</v>
      </c>
    </row>
    <row r="25" spans="1:5" ht="63.75" customHeight="1">
      <c r="A25" s="149">
        <v>4</v>
      </c>
      <c r="B25" s="145" t="s">
        <v>221</v>
      </c>
      <c r="C25" s="143">
        <v>0</v>
      </c>
      <c r="D25" s="143">
        <v>0</v>
      </c>
      <c r="E25" s="143">
        <v>0</v>
      </c>
    </row>
    <row r="26" spans="1:5" ht="13.5">
      <c r="A26" s="149"/>
      <c r="B26" s="145"/>
      <c r="C26" s="144"/>
      <c r="D26" s="144"/>
      <c r="E26" s="144"/>
    </row>
    <row r="27" spans="1:5" ht="13.5">
      <c r="A27" s="76" t="s">
        <v>108</v>
      </c>
      <c r="B27" s="77" t="s">
        <v>6</v>
      </c>
      <c r="C27" s="80" t="s">
        <v>115</v>
      </c>
      <c r="D27" s="80" t="s">
        <v>115</v>
      </c>
      <c r="E27" s="80" t="s">
        <v>115</v>
      </c>
    </row>
    <row r="28" spans="1:5" ht="13.5">
      <c r="A28" s="76" t="s">
        <v>109</v>
      </c>
      <c r="B28" s="77" t="s">
        <v>7</v>
      </c>
      <c r="C28" s="80" t="s">
        <v>115</v>
      </c>
      <c r="D28" s="80" t="s">
        <v>115</v>
      </c>
      <c r="E28" s="80" t="s">
        <v>115</v>
      </c>
    </row>
    <row r="29" spans="1:5" ht="13.5">
      <c r="A29" s="76" t="s">
        <v>110</v>
      </c>
      <c r="B29" s="77" t="s">
        <v>8</v>
      </c>
      <c r="C29" s="80">
        <v>0</v>
      </c>
      <c r="D29" s="80">
        <v>0</v>
      </c>
      <c r="E29" s="80">
        <v>0</v>
      </c>
    </row>
    <row r="30" spans="1:5" ht="13.5">
      <c r="A30" s="76" t="s">
        <v>111</v>
      </c>
      <c r="B30" s="77" t="s">
        <v>9</v>
      </c>
      <c r="C30" s="80">
        <v>0</v>
      </c>
      <c r="D30" s="80">
        <v>0</v>
      </c>
      <c r="E30" s="80">
        <v>0</v>
      </c>
    </row>
    <row r="31" spans="1:5" ht="39">
      <c r="A31" s="75">
        <v>5</v>
      </c>
      <c r="B31" s="81" t="s">
        <v>10</v>
      </c>
      <c r="C31" s="80">
        <v>0</v>
      </c>
      <c r="D31" s="80">
        <v>0</v>
      </c>
      <c r="E31" s="80">
        <v>0</v>
      </c>
    </row>
    <row r="32" spans="1:5" ht="52.5">
      <c r="A32" s="76" t="s">
        <v>112</v>
      </c>
      <c r="B32" s="81" t="s">
        <v>11</v>
      </c>
      <c r="C32" s="80">
        <v>0</v>
      </c>
      <c r="D32" s="80">
        <v>0</v>
      </c>
      <c r="E32" s="80">
        <v>0</v>
      </c>
    </row>
    <row r="34" spans="1:20" s="82" customFormat="1" ht="12.75">
      <c r="A34" s="150" t="s">
        <v>118</v>
      </c>
      <c r="B34" s="152"/>
      <c r="C34" s="152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</row>
    <row r="35" ht="13.5">
      <c r="A35" s="83"/>
    </row>
    <row r="36" spans="1:20" ht="133.5" customHeight="1">
      <c r="A36" s="149" t="s">
        <v>2</v>
      </c>
      <c r="B36" s="149" t="s">
        <v>12</v>
      </c>
      <c r="C36" s="149" t="s">
        <v>13</v>
      </c>
      <c r="D36" s="149"/>
      <c r="E36" s="149"/>
      <c r="F36" s="149"/>
      <c r="G36" s="149" t="s">
        <v>14</v>
      </c>
      <c r="H36" s="149"/>
      <c r="I36" s="149"/>
      <c r="J36" s="149"/>
      <c r="K36" s="149" t="s">
        <v>15</v>
      </c>
      <c r="L36" s="149"/>
      <c r="M36" s="149"/>
      <c r="N36" s="149"/>
      <c r="O36" s="149" t="s">
        <v>16</v>
      </c>
      <c r="P36" s="149"/>
      <c r="Q36" s="149"/>
      <c r="R36" s="149"/>
      <c r="S36" s="149" t="s">
        <v>17</v>
      </c>
      <c r="T36" s="149" t="s">
        <v>18</v>
      </c>
    </row>
    <row r="37" spans="1:20" ht="33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</row>
    <row r="38" spans="1:20" ht="13.5">
      <c r="A38" s="149"/>
      <c r="B38" s="149"/>
      <c r="C38" s="75" t="s">
        <v>19</v>
      </c>
      <c r="D38" s="75" t="s">
        <v>20</v>
      </c>
      <c r="E38" s="75" t="s">
        <v>21</v>
      </c>
      <c r="F38" s="75" t="s">
        <v>22</v>
      </c>
      <c r="G38" s="75" t="s">
        <v>19</v>
      </c>
      <c r="H38" s="75" t="s">
        <v>20</v>
      </c>
      <c r="I38" s="75" t="s">
        <v>21</v>
      </c>
      <c r="J38" s="75" t="s">
        <v>22</v>
      </c>
      <c r="K38" s="75" t="s">
        <v>19</v>
      </c>
      <c r="L38" s="75" t="s">
        <v>20</v>
      </c>
      <c r="M38" s="75" t="s">
        <v>21</v>
      </c>
      <c r="N38" s="75" t="s">
        <v>22</v>
      </c>
      <c r="O38" s="75" t="s">
        <v>19</v>
      </c>
      <c r="P38" s="75" t="s">
        <v>20</v>
      </c>
      <c r="Q38" s="75" t="s">
        <v>21</v>
      </c>
      <c r="R38" s="75" t="s">
        <v>22</v>
      </c>
      <c r="S38" s="149"/>
      <c r="T38" s="149"/>
    </row>
    <row r="39" spans="1:20" ht="12" customHeight="1">
      <c r="A39" s="75">
        <v>1</v>
      </c>
      <c r="B39" s="75">
        <v>2</v>
      </c>
      <c r="C39" s="75">
        <v>3</v>
      </c>
      <c r="D39" s="75">
        <v>4</v>
      </c>
      <c r="E39" s="75">
        <v>5</v>
      </c>
      <c r="F39" s="75">
        <v>6</v>
      </c>
      <c r="G39" s="75">
        <v>7</v>
      </c>
      <c r="H39" s="75">
        <v>8</v>
      </c>
      <c r="I39" s="75">
        <v>9</v>
      </c>
      <c r="J39" s="75">
        <v>10</v>
      </c>
      <c r="K39" s="75">
        <v>11</v>
      </c>
      <c r="L39" s="75">
        <v>12</v>
      </c>
      <c r="M39" s="75">
        <v>13</v>
      </c>
      <c r="N39" s="75">
        <v>14</v>
      </c>
      <c r="O39" s="75">
        <v>15</v>
      </c>
      <c r="P39" s="75">
        <v>16</v>
      </c>
      <c r="Q39" s="75">
        <v>17</v>
      </c>
      <c r="R39" s="75">
        <v>18</v>
      </c>
      <c r="S39" s="75">
        <v>19</v>
      </c>
      <c r="T39" s="75">
        <v>20</v>
      </c>
    </row>
    <row r="40" spans="1:20" ht="13.5">
      <c r="A40" s="75">
        <v>1</v>
      </c>
      <c r="B40" s="84" t="s">
        <v>233</v>
      </c>
      <c r="C40" s="75"/>
      <c r="D40" s="75"/>
      <c r="E40" s="100">
        <f>D11</f>
        <v>5</v>
      </c>
      <c r="F40" s="100">
        <f>D12</f>
        <v>5</v>
      </c>
      <c r="G40" s="75"/>
      <c r="H40" s="75"/>
      <c r="I40" s="100">
        <f>D17</f>
        <v>5</v>
      </c>
      <c r="J40" s="100">
        <f>D18</f>
        <v>5</v>
      </c>
      <c r="K40" s="75"/>
      <c r="L40" s="75"/>
      <c r="M40" s="75">
        <f>C23</f>
        <v>0</v>
      </c>
      <c r="N40" s="75">
        <f>C24</f>
        <v>0</v>
      </c>
      <c r="O40" s="75"/>
      <c r="P40" s="75"/>
      <c r="Q40" s="75">
        <v>0</v>
      </c>
      <c r="R40" s="75">
        <v>0</v>
      </c>
      <c r="S40" s="75">
        <v>0.8975</v>
      </c>
      <c r="T40" s="75">
        <v>0</v>
      </c>
    </row>
    <row r="41" spans="1:20" ht="13.5">
      <c r="A41" s="75" t="s">
        <v>23</v>
      </c>
      <c r="B41" s="84" t="s">
        <v>24</v>
      </c>
      <c r="C41" s="78">
        <f>C40</f>
        <v>0</v>
      </c>
      <c r="D41" s="78">
        <f aca="true" t="shared" si="0" ref="D41:T41">D40</f>
        <v>0</v>
      </c>
      <c r="E41" s="78">
        <f t="shared" si="0"/>
        <v>5</v>
      </c>
      <c r="F41" s="78">
        <f t="shared" si="0"/>
        <v>5</v>
      </c>
      <c r="G41" s="78">
        <f t="shared" si="0"/>
        <v>0</v>
      </c>
      <c r="H41" s="78">
        <f t="shared" si="0"/>
        <v>0</v>
      </c>
      <c r="I41" s="78">
        <f t="shared" si="0"/>
        <v>5</v>
      </c>
      <c r="J41" s="78">
        <f t="shared" si="0"/>
        <v>5</v>
      </c>
      <c r="K41" s="78">
        <f t="shared" si="0"/>
        <v>0</v>
      </c>
      <c r="L41" s="78">
        <f t="shared" si="0"/>
        <v>0</v>
      </c>
      <c r="M41" s="78">
        <f t="shared" si="0"/>
        <v>0</v>
      </c>
      <c r="N41" s="78">
        <f t="shared" si="0"/>
        <v>0</v>
      </c>
      <c r="O41" s="78">
        <f t="shared" si="0"/>
        <v>0</v>
      </c>
      <c r="P41" s="78">
        <f t="shared" si="0"/>
        <v>0</v>
      </c>
      <c r="Q41" s="78">
        <f t="shared" si="0"/>
        <v>0</v>
      </c>
      <c r="R41" s="78">
        <f t="shared" si="0"/>
        <v>0</v>
      </c>
      <c r="S41" s="78">
        <f t="shared" si="0"/>
        <v>0.8975</v>
      </c>
      <c r="T41" s="78">
        <f t="shared" si="0"/>
        <v>0</v>
      </c>
    </row>
    <row r="42" ht="13.5">
      <c r="A42" s="83"/>
    </row>
    <row r="43" spans="1:20" ht="13.5">
      <c r="A43" s="150" t="s">
        <v>126</v>
      </c>
      <c r="B43" s="151"/>
      <c r="C43" s="151"/>
      <c r="D43" s="151"/>
      <c r="E43" s="151"/>
      <c r="F43" s="151"/>
      <c r="G43" s="151"/>
      <c r="H43" s="151"/>
      <c r="I43" s="151"/>
      <c r="J43" s="151"/>
      <c r="K43" s="151"/>
      <c r="L43" s="151"/>
      <c r="M43" s="151"/>
      <c r="N43" s="151"/>
      <c r="O43" s="151"/>
      <c r="P43" s="151"/>
      <c r="Q43" s="151"/>
      <c r="R43" s="151"/>
      <c r="S43" s="151"/>
      <c r="T43" s="151"/>
    </row>
    <row r="44" spans="1:20" ht="13.5">
      <c r="A44" s="156" t="s">
        <v>127</v>
      </c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</row>
    <row r="45" spans="1:20" ht="13.5">
      <c r="A45" s="156" t="s">
        <v>128</v>
      </c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</row>
    <row r="46" spans="1:20" ht="13.5">
      <c r="A46" s="156" t="s">
        <v>129</v>
      </c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</row>
    <row r="47" spans="1:20" ht="13.5">
      <c r="A47" s="150" t="s">
        <v>25</v>
      </c>
      <c r="B47" s="151"/>
      <c r="C47" s="151"/>
      <c r="D47" s="151"/>
      <c r="E47" s="151"/>
      <c r="F47" s="151"/>
      <c r="G47" s="151"/>
      <c r="H47" s="151"/>
      <c r="I47" s="151"/>
      <c r="J47" s="151"/>
      <c r="K47" s="151"/>
      <c r="L47" s="151"/>
      <c r="M47" s="151"/>
      <c r="N47" s="151"/>
      <c r="O47" s="151"/>
      <c r="P47" s="151"/>
      <c r="Q47" s="151"/>
      <c r="R47" s="151"/>
      <c r="S47" s="151"/>
      <c r="T47" s="151"/>
    </row>
  </sheetData>
  <sheetProtection/>
  <mergeCells count="39">
    <mergeCell ref="A47:T47"/>
    <mergeCell ref="A36:A38"/>
    <mergeCell ref="B36:B38"/>
    <mergeCell ref="C36:F37"/>
    <mergeCell ref="G36:J37"/>
    <mergeCell ref="K36:N37"/>
    <mergeCell ref="O36:R37"/>
    <mergeCell ref="A44:T44"/>
    <mergeCell ref="A46:T46"/>
    <mergeCell ref="A45:T45"/>
    <mergeCell ref="S36:S38"/>
    <mergeCell ref="T36:T38"/>
    <mergeCell ref="A43:T43"/>
    <mergeCell ref="A34:T34"/>
    <mergeCell ref="A2:M2"/>
    <mergeCell ref="A25:A26"/>
    <mergeCell ref="E25:E26"/>
    <mergeCell ref="A13:A14"/>
    <mergeCell ref="E13:E14"/>
    <mergeCell ref="A19:A20"/>
    <mergeCell ref="E19:E20"/>
    <mergeCell ref="B13:B14"/>
    <mergeCell ref="B19:B20"/>
    <mergeCell ref="A1:M1"/>
    <mergeCell ref="A4:A5"/>
    <mergeCell ref="B4:B5"/>
    <mergeCell ref="C4:E4"/>
    <mergeCell ref="A7:A8"/>
    <mergeCell ref="B7:B8"/>
    <mergeCell ref="E7:E8"/>
    <mergeCell ref="C7:C8"/>
    <mergeCell ref="D7:D8"/>
    <mergeCell ref="B25:B26"/>
    <mergeCell ref="C13:C14"/>
    <mergeCell ref="C19:C20"/>
    <mergeCell ref="C25:C26"/>
    <mergeCell ref="D13:D14"/>
    <mergeCell ref="D19:D20"/>
    <mergeCell ref="D25:D26"/>
  </mergeCells>
  <printOptions/>
  <pageMargins left="0.7" right="0.7" top="0.75" bottom="0.75" header="0.3" footer="0.3"/>
  <pageSetup horizontalDpi="180" verticalDpi="180" orientation="portrait" paperSize="9" scale="2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55"/>
  <sheetViews>
    <sheetView view="pageBreakPreview" zoomScale="81" zoomScaleSheetLayoutView="81" zoomScalePageLayoutView="0" workbookViewId="0" topLeftCell="A13">
      <selection activeCell="O43" sqref="O43"/>
    </sheetView>
  </sheetViews>
  <sheetFormatPr defaultColWidth="9.140625" defaultRowHeight="15"/>
  <cols>
    <col min="1" max="1" width="5.00390625" style="1" customWidth="1"/>
    <col min="2" max="2" width="34.7109375" style="1" customWidth="1"/>
    <col min="3" max="4" width="9.140625" style="1" customWidth="1"/>
    <col min="5" max="5" width="13.7109375" style="1" customWidth="1"/>
    <col min="6" max="6" width="11.421875" style="1" customWidth="1"/>
    <col min="7" max="7" width="14.140625" style="1" customWidth="1"/>
    <col min="8" max="8" width="12.28125" style="1" customWidth="1"/>
    <col min="9" max="9" width="13.7109375" style="1" customWidth="1"/>
    <col min="10" max="10" width="11.421875" style="1" customWidth="1"/>
    <col min="11" max="11" width="12.00390625" style="1" customWidth="1"/>
    <col min="12" max="12" width="11.421875" style="1" customWidth="1"/>
    <col min="13" max="13" width="13.421875" style="1" customWidth="1"/>
    <col min="14" max="14" width="11.140625" style="1" customWidth="1"/>
    <col min="15" max="15" width="13.140625" style="1" customWidth="1"/>
    <col min="16" max="16" width="11.28125" style="1" bestFit="1" customWidth="1"/>
    <col min="17" max="17" width="13.28125" style="1" customWidth="1"/>
    <col min="18" max="18" width="11.28125" style="1" bestFit="1" customWidth="1"/>
    <col min="19" max="19" width="12.140625" style="1" customWidth="1"/>
    <col min="20" max="20" width="11.28125" style="1" bestFit="1" customWidth="1"/>
    <col min="21" max="16384" width="9.140625" style="1" customWidth="1"/>
  </cols>
  <sheetData>
    <row r="1" spans="1:13" s="3" customFormat="1" ht="15">
      <c r="A1" s="134" t="s">
        <v>119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</row>
    <row r="2" spans="1:13" ht="13.5">
      <c r="A2" s="157"/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</row>
    <row r="3" spans="1:18" ht="56.25" customHeight="1">
      <c r="A3" s="159" t="s">
        <v>121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58"/>
      <c r="O3" s="158"/>
      <c r="P3" s="158"/>
      <c r="Q3" s="158"/>
      <c r="R3" s="158"/>
    </row>
    <row r="4" spans="1:18" ht="13.5">
      <c r="A4" s="159" t="s">
        <v>123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3"/>
      <c r="N4" s="158"/>
      <c r="O4" s="158"/>
      <c r="P4" s="158"/>
      <c r="Q4" s="158"/>
      <c r="R4" s="158"/>
    </row>
    <row r="5" spans="1:18" ht="13.5">
      <c r="A5" s="161" t="s">
        <v>125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1"/>
    </row>
    <row r="6" spans="1:18" ht="13.5">
      <c r="A6" s="161" t="s">
        <v>122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  <c r="M6" s="161"/>
      <c r="N6" s="161"/>
      <c r="O6" s="161"/>
      <c r="P6" s="161"/>
      <c r="Q6" s="161"/>
      <c r="R6" s="161"/>
    </row>
    <row r="7" spans="1:18" ht="13.5">
      <c r="A7" s="161" t="s">
        <v>124</v>
      </c>
      <c r="B7" s="161"/>
      <c r="C7" s="161"/>
      <c r="D7" s="161"/>
      <c r="E7" s="161"/>
      <c r="F7" s="161"/>
      <c r="G7" s="161"/>
      <c r="H7" s="161"/>
      <c r="I7" s="161"/>
      <c r="J7" s="161"/>
      <c r="K7" s="161"/>
      <c r="L7" s="161"/>
      <c r="M7" s="161"/>
      <c r="N7" s="161"/>
      <c r="O7" s="161"/>
      <c r="P7" s="161"/>
      <c r="Q7" s="161"/>
      <c r="R7" s="161"/>
    </row>
    <row r="8" spans="1:18" ht="13.5">
      <c r="A8" s="159" t="s">
        <v>27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3"/>
      <c r="N8" s="158"/>
      <c r="O8" s="158"/>
      <c r="P8" s="158"/>
      <c r="Q8" s="158"/>
      <c r="R8" s="158"/>
    </row>
    <row r="9" spans="1:13" ht="13.5">
      <c r="A9" s="159" t="s">
        <v>28</v>
      </c>
      <c r="B9" s="133"/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</row>
    <row r="10" ht="13.5">
      <c r="A10" s="2"/>
    </row>
    <row r="11" spans="1:18" ht="13.5">
      <c r="A11" s="160" t="s">
        <v>2</v>
      </c>
      <c r="B11" s="160" t="s">
        <v>0</v>
      </c>
      <c r="C11" s="160" t="s">
        <v>29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75" t="s">
        <v>30</v>
      </c>
    </row>
    <row r="12" spans="1:18" ht="25.5" customHeight="1">
      <c r="A12" s="160"/>
      <c r="B12" s="160"/>
      <c r="C12" s="160" t="s">
        <v>31</v>
      </c>
      <c r="D12" s="160"/>
      <c r="E12" s="160"/>
      <c r="F12" s="160" t="s">
        <v>32</v>
      </c>
      <c r="G12" s="160"/>
      <c r="H12" s="160"/>
      <c r="I12" s="160" t="s">
        <v>33</v>
      </c>
      <c r="J12" s="160"/>
      <c r="K12" s="160"/>
      <c r="L12" s="160" t="s">
        <v>34</v>
      </c>
      <c r="M12" s="160"/>
      <c r="N12" s="160"/>
      <c r="O12" s="160" t="s">
        <v>35</v>
      </c>
      <c r="P12" s="160"/>
      <c r="Q12" s="160"/>
      <c r="R12" s="176"/>
    </row>
    <row r="13" spans="1:18" ht="52.5">
      <c r="A13" s="160"/>
      <c r="B13" s="160"/>
      <c r="C13" s="86" t="s">
        <v>3</v>
      </c>
      <c r="D13" s="86" t="s">
        <v>4</v>
      </c>
      <c r="E13" s="86" t="s">
        <v>36</v>
      </c>
      <c r="F13" s="86" t="s">
        <v>3</v>
      </c>
      <c r="G13" s="86" t="s">
        <v>4</v>
      </c>
      <c r="H13" s="86" t="s">
        <v>36</v>
      </c>
      <c r="I13" s="86" t="s">
        <v>3</v>
      </c>
      <c r="J13" s="86" t="s">
        <v>4</v>
      </c>
      <c r="K13" s="86" t="s">
        <v>36</v>
      </c>
      <c r="L13" s="86" t="s">
        <v>3</v>
      </c>
      <c r="M13" s="86" t="s">
        <v>4</v>
      </c>
      <c r="N13" s="86" t="s">
        <v>36</v>
      </c>
      <c r="O13" s="86" t="s">
        <v>3</v>
      </c>
      <c r="P13" s="86" t="s">
        <v>4</v>
      </c>
      <c r="Q13" s="86" t="s">
        <v>36</v>
      </c>
      <c r="R13" s="177"/>
    </row>
    <row r="14" spans="1:18" ht="13.5">
      <c r="A14" s="86">
        <v>1</v>
      </c>
      <c r="B14" s="86">
        <v>2</v>
      </c>
      <c r="C14" s="86">
        <v>3</v>
      </c>
      <c r="D14" s="86">
        <v>4</v>
      </c>
      <c r="E14" s="86">
        <v>5</v>
      </c>
      <c r="F14" s="86">
        <v>6</v>
      </c>
      <c r="G14" s="86">
        <v>7</v>
      </c>
      <c r="H14" s="86">
        <v>8</v>
      </c>
      <c r="I14" s="86">
        <v>9</v>
      </c>
      <c r="J14" s="86">
        <v>10</v>
      </c>
      <c r="K14" s="86">
        <v>11</v>
      </c>
      <c r="L14" s="86">
        <v>12</v>
      </c>
      <c r="M14" s="86">
        <v>13</v>
      </c>
      <c r="N14" s="86">
        <v>14</v>
      </c>
      <c r="O14" s="86">
        <v>15</v>
      </c>
      <c r="P14" s="86">
        <v>16</v>
      </c>
      <c r="Q14" s="86">
        <v>17</v>
      </c>
      <c r="R14" s="86">
        <v>18</v>
      </c>
    </row>
    <row r="15" spans="1:22" ht="39">
      <c r="A15" s="10">
        <v>1</v>
      </c>
      <c r="B15" s="18" t="s">
        <v>37</v>
      </c>
      <c r="C15" s="101">
        <v>55</v>
      </c>
      <c r="D15" s="14">
        <v>72</v>
      </c>
      <c r="E15" s="15">
        <f>(D15-C15)/C15*100</f>
        <v>30.909090909090907</v>
      </c>
      <c r="F15" s="101">
        <v>18</v>
      </c>
      <c r="G15" s="14">
        <v>11</v>
      </c>
      <c r="H15" s="15">
        <f>(G15-F15)/F15*100</f>
        <v>-38.88888888888889</v>
      </c>
      <c r="I15" s="101">
        <v>2</v>
      </c>
      <c r="J15" s="14">
        <v>4</v>
      </c>
      <c r="K15" s="15">
        <f>(J15-I15)/I15*100</f>
        <v>100</v>
      </c>
      <c r="L15" s="101">
        <v>2</v>
      </c>
      <c r="M15" s="14">
        <v>0</v>
      </c>
      <c r="N15" s="15">
        <f>(M15-L15)/L15*100</f>
        <v>-100</v>
      </c>
      <c r="O15" s="14">
        <v>0</v>
      </c>
      <c r="P15" s="14">
        <v>0</v>
      </c>
      <c r="Q15" s="14">
        <v>0</v>
      </c>
      <c r="R15" s="14">
        <f>D15+G15+J15+M15+P15</f>
        <v>87</v>
      </c>
      <c r="T15" s="16"/>
      <c r="U15" s="16"/>
      <c r="V15" s="17"/>
    </row>
    <row r="16" spans="1:22" ht="66">
      <c r="A16" s="10">
        <v>2</v>
      </c>
      <c r="B16" s="11" t="s">
        <v>38</v>
      </c>
      <c r="C16" s="101">
        <v>53</v>
      </c>
      <c r="D16" s="14">
        <v>67</v>
      </c>
      <c r="E16" s="15">
        <f>(D16-C16)/C16*100</f>
        <v>26.41509433962264</v>
      </c>
      <c r="F16" s="101">
        <v>16</v>
      </c>
      <c r="G16" s="14">
        <v>10</v>
      </c>
      <c r="H16" s="15">
        <f>(G16-F16)/F16*100</f>
        <v>-37.5</v>
      </c>
      <c r="I16" s="101">
        <v>1</v>
      </c>
      <c r="J16" s="14">
        <v>2</v>
      </c>
      <c r="K16" s="15">
        <f>(J16-I16)/I16*100</f>
        <v>100</v>
      </c>
      <c r="L16" s="101">
        <v>2</v>
      </c>
      <c r="M16" s="14">
        <v>0</v>
      </c>
      <c r="N16" s="15">
        <f>(M16-L16)/L16*100</f>
        <v>-100</v>
      </c>
      <c r="O16" s="14">
        <v>0</v>
      </c>
      <c r="P16" s="14">
        <v>0</v>
      </c>
      <c r="Q16" s="14">
        <v>0</v>
      </c>
      <c r="R16" s="14">
        <f>D16+G16+J16+M16+P16</f>
        <v>79</v>
      </c>
      <c r="T16" s="16"/>
      <c r="U16" s="16"/>
      <c r="V16" s="17"/>
    </row>
    <row r="17" spans="1:22" ht="104.25" customHeight="1">
      <c r="A17" s="10">
        <v>3</v>
      </c>
      <c r="B17" s="11" t="s">
        <v>39</v>
      </c>
      <c r="C17" s="101">
        <v>0</v>
      </c>
      <c r="D17" s="14">
        <v>0</v>
      </c>
      <c r="E17" s="15">
        <v>0</v>
      </c>
      <c r="F17" s="101">
        <v>0</v>
      </c>
      <c r="G17" s="14">
        <v>0</v>
      </c>
      <c r="H17" s="15">
        <v>0</v>
      </c>
      <c r="I17" s="101">
        <v>0</v>
      </c>
      <c r="J17" s="14">
        <v>0</v>
      </c>
      <c r="K17" s="15">
        <v>0</v>
      </c>
      <c r="L17" s="101">
        <v>0</v>
      </c>
      <c r="M17" s="14">
        <v>0</v>
      </c>
      <c r="N17" s="15">
        <v>0</v>
      </c>
      <c r="O17" s="14">
        <v>0</v>
      </c>
      <c r="P17" s="14">
        <v>0</v>
      </c>
      <c r="Q17" s="14">
        <v>0</v>
      </c>
      <c r="R17" s="14">
        <v>0</v>
      </c>
      <c r="T17" s="16"/>
      <c r="U17" s="16"/>
      <c r="V17" s="17"/>
    </row>
    <row r="18" spans="1:22" ht="13.5">
      <c r="A18" s="12" t="s">
        <v>104</v>
      </c>
      <c r="B18" s="11" t="s">
        <v>40</v>
      </c>
      <c r="C18" s="102">
        <v>0</v>
      </c>
      <c r="D18" s="14">
        <v>0</v>
      </c>
      <c r="E18" s="15">
        <v>0</v>
      </c>
      <c r="F18" s="102">
        <v>0</v>
      </c>
      <c r="G18" s="14">
        <v>0</v>
      </c>
      <c r="H18" s="15">
        <v>0</v>
      </c>
      <c r="I18" s="102">
        <v>0</v>
      </c>
      <c r="J18" s="14">
        <v>0</v>
      </c>
      <c r="K18" s="15">
        <v>0</v>
      </c>
      <c r="L18" s="102">
        <v>0</v>
      </c>
      <c r="M18" s="14">
        <v>0</v>
      </c>
      <c r="N18" s="15">
        <v>0</v>
      </c>
      <c r="O18" s="14">
        <v>0</v>
      </c>
      <c r="P18" s="14">
        <v>0</v>
      </c>
      <c r="Q18" s="14">
        <v>0</v>
      </c>
      <c r="R18" s="102">
        <v>0</v>
      </c>
      <c r="T18" s="16"/>
      <c r="U18" s="16"/>
      <c r="V18" s="17"/>
    </row>
    <row r="19" spans="1:22" ht="13.5">
      <c r="A19" s="12" t="s">
        <v>105</v>
      </c>
      <c r="B19" s="11" t="s">
        <v>41</v>
      </c>
      <c r="C19" s="102">
        <v>0</v>
      </c>
      <c r="D19" s="14">
        <v>0</v>
      </c>
      <c r="E19" s="15">
        <v>0</v>
      </c>
      <c r="F19" s="102">
        <v>0</v>
      </c>
      <c r="G19" s="14">
        <v>0</v>
      </c>
      <c r="H19" s="15">
        <v>0</v>
      </c>
      <c r="I19" s="102">
        <v>0</v>
      </c>
      <c r="J19" s="14">
        <v>0</v>
      </c>
      <c r="K19" s="15">
        <v>0</v>
      </c>
      <c r="L19" s="102">
        <v>0</v>
      </c>
      <c r="M19" s="14">
        <v>0</v>
      </c>
      <c r="N19" s="15">
        <v>0</v>
      </c>
      <c r="O19" s="14">
        <v>0</v>
      </c>
      <c r="P19" s="14">
        <v>0</v>
      </c>
      <c r="Q19" s="14">
        <v>0</v>
      </c>
      <c r="R19" s="102">
        <v>0</v>
      </c>
      <c r="T19" s="16"/>
      <c r="U19" s="16"/>
      <c r="V19" s="17"/>
    </row>
    <row r="20" spans="1:22" ht="66">
      <c r="A20" s="10">
        <v>4</v>
      </c>
      <c r="B20" s="11" t="s">
        <v>42</v>
      </c>
      <c r="C20" s="101">
        <v>4</v>
      </c>
      <c r="D20" s="80">
        <v>5</v>
      </c>
      <c r="E20" s="79">
        <f>(D20-C20)/C20*100</f>
        <v>25</v>
      </c>
      <c r="F20" s="103">
        <v>4</v>
      </c>
      <c r="G20" s="80">
        <v>5</v>
      </c>
      <c r="H20" s="79">
        <f>(G20-F20)/F20*100</f>
        <v>25</v>
      </c>
      <c r="I20" s="103">
        <v>4</v>
      </c>
      <c r="J20" s="80">
        <v>5</v>
      </c>
      <c r="K20" s="15">
        <f>(J20-I20)/I20*100</f>
        <v>25</v>
      </c>
      <c r="L20" s="101">
        <v>32</v>
      </c>
      <c r="M20" s="14">
        <v>0</v>
      </c>
      <c r="N20" s="15">
        <f>(M20-L20)/L20*100</f>
        <v>-100</v>
      </c>
      <c r="O20" s="14">
        <v>0</v>
      </c>
      <c r="P20" s="14">
        <v>0</v>
      </c>
      <c r="Q20" s="14">
        <v>0</v>
      </c>
      <c r="R20" s="14">
        <f>D20+G20+J20+M20+P20</f>
        <v>15</v>
      </c>
      <c r="T20" s="16"/>
      <c r="U20" s="16"/>
      <c r="V20" s="17"/>
    </row>
    <row r="21" spans="1:22" ht="52.5">
      <c r="A21" s="10">
        <v>5</v>
      </c>
      <c r="B21" s="11" t="s">
        <v>43</v>
      </c>
      <c r="C21" s="101">
        <v>51</v>
      </c>
      <c r="D21" s="14">
        <v>66</v>
      </c>
      <c r="E21" s="15">
        <f>(D21-C21)/C21*100</f>
        <v>29.411764705882355</v>
      </c>
      <c r="F21" s="101">
        <v>14</v>
      </c>
      <c r="G21" s="14">
        <v>8</v>
      </c>
      <c r="H21" s="15">
        <f>(G21-F21)/F21*100</f>
        <v>-42.857142857142854</v>
      </c>
      <c r="I21" s="101">
        <v>0</v>
      </c>
      <c r="J21" s="14">
        <v>2</v>
      </c>
      <c r="K21" s="15">
        <f>(J21-I21)/J21*100</f>
        <v>100</v>
      </c>
      <c r="L21" s="101">
        <v>1</v>
      </c>
      <c r="M21" s="14">
        <v>0</v>
      </c>
      <c r="N21" s="15">
        <f>(M21-L21)/L21*100</f>
        <v>-100</v>
      </c>
      <c r="O21" s="14">
        <v>0</v>
      </c>
      <c r="P21" s="14">
        <v>0</v>
      </c>
      <c r="Q21" s="14">
        <v>0</v>
      </c>
      <c r="R21" s="14">
        <f>D21+G21+J21+M21+P21</f>
        <v>76</v>
      </c>
      <c r="T21" s="16"/>
      <c r="U21" s="16"/>
      <c r="V21" s="17"/>
    </row>
    <row r="22" spans="1:22" ht="52.5">
      <c r="A22" s="10">
        <v>6</v>
      </c>
      <c r="B22" s="11" t="s">
        <v>44</v>
      </c>
      <c r="C22" s="101">
        <v>46</v>
      </c>
      <c r="D22" s="14">
        <v>32</v>
      </c>
      <c r="E22" s="15">
        <f>(D22-C22)/C22*100</f>
        <v>-30.434782608695656</v>
      </c>
      <c r="F22" s="101">
        <v>12</v>
      </c>
      <c r="G22" s="14">
        <v>7</v>
      </c>
      <c r="H22" s="15">
        <f>(G22-F22)/F22*100</f>
        <v>-41.66666666666667</v>
      </c>
      <c r="I22" s="101">
        <v>0</v>
      </c>
      <c r="J22" s="14">
        <v>1</v>
      </c>
      <c r="K22" s="15">
        <f>(J22-I22)/J22*100</f>
        <v>100</v>
      </c>
      <c r="L22" s="101">
        <v>1</v>
      </c>
      <c r="M22" s="14">
        <v>0</v>
      </c>
      <c r="N22" s="15">
        <f>(M22-L22)/L22*100</f>
        <v>-100</v>
      </c>
      <c r="O22" s="14">
        <v>0</v>
      </c>
      <c r="P22" s="14">
        <v>0</v>
      </c>
      <c r="Q22" s="14">
        <v>0</v>
      </c>
      <c r="R22" s="14">
        <f>D22+G22+J22+M22+P22</f>
        <v>40</v>
      </c>
      <c r="T22" s="16"/>
      <c r="U22" s="16"/>
      <c r="V22" s="17"/>
    </row>
    <row r="23" spans="1:22" ht="92.25">
      <c r="A23" s="10">
        <v>7</v>
      </c>
      <c r="B23" s="11" t="s">
        <v>45</v>
      </c>
      <c r="C23" s="101">
        <v>0</v>
      </c>
      <c r="D23" s="14">
        <v>0</v>
      </c>
      <c r="E23" s="15">
        <v>0</v>
      </c>
      <c r="F23" s="101">
        <v>0</v>
      </c>
      <c r="G23" s="14">
        <v>0</v>
      </c>
      <c r="H23" s="15">
        <v>0</v>
      </c>
      <c r="I23" s="101">
        <v>0</v>
      </c>
      <c r="J23" s="14">
        <v>0</v>
      </c>
      <c r="K23" s="15">
        <v>0</v>
      </c>
      <c r="L23" s="101">
        <v>0</v>
      </c>
      <c r="M23" s="14">
        <v>0</v>
      </c>
      <c r="N23" s="15">
        <v>0</v>
      </c>
      <c r="O23" s="14">
        <v>0</v>
      </c>
      <c r="P23" s="14">
        <v>0</v>
      </c>
      <c r="Q23" s="14">
        <v>0</v>
      </c>
      <c r="R23" s="14">
        <v>0</v>
      </c>
      <c r="T23" s="16"/>
      <c r="U23" s="16"/>
      <c r="V23" s="17"/>
    </row>
    <row r="24" spans="1:22" ht="13.5">
      <c r="A24" s="12" t="s">
        <v>113</v>
      </c>
      <c r="B24" s="11" t="s">
        <v>40</v>
      </c>
      <c r="C24" s="102">
        <v>0</v>
      </c>
      <c r="D24" s="14">
        <v>0</v>
      </c>
      <c r="E24" s="15">
        <v>0</v>
      </c>
      <c r="F24" s="102">
        <v>0</v>
      </c>
      <c r="G24" s="14">
        <v>0</v>
      </c>
      <c r="H24" s="15">
        <v>0</v>
      </c>
      <c r="I24" s="102">
        <v>0</v>
      </c>
      <c r="J24" s="14">
        <v>0</v>
      </c>
      <c r="K24" s="15">
        <v>0</v>
      </c>
      <c r="L24" s="102">
        <v>0</v>
      </c>
      <c r="M24" s="14">
        <v>0</v>
      </c>
      <c r="N24" s="15">
        <v>0</v>
      </c>
      <c r="O24" s="14">
        <v>0</v>
      </c>
      <c r="P24" s="14">
        <v>0</v>
      </c>
      <c r="Q24" s="14">
        <v>0</v>
      </c>
      <c r="R24" s="14">
        <v>0</v>
      </c>
      <c r="T24" s="16"/>
      <c r="U24" s="16"/>
      <c r="V24" s="17"/>
    </row>
    <row r="25" spans="1:22" ht="13.5">
      <c r="A25" s="12" t="s">
        <v>114</v>
      </c>
      <c r="B25" s="11" t="s">
        <v>46</v>
      </c>
      <c r="C25" s="102">
        <v>0</v>
      </c>
      <c r="D25" s="14">
        <v>0</v>
      </c>
      <c r="E25" s="15">
        <v>0</v>
      </c>
      <c r="F25" s="102">
        <v>0</v>
      </c>
      <c r="G25" s="14">
        <v>0</v>
      </c>
      <c r="H25" s="15">
        <v>0</v>
      </c>
      <c r="I25" s="102">
        <v>0</v>
      </c>
      <c r="J25" s="14">
        <v>0</v>
      </c>
      <c r="K25" s="15">
        <v>0</v>
      </c>
      <c r="L25" s="102">
        <v>0</v>
      </c>
      <c r="M25" s="14">
        <v>0</v>
      </c>
      <c r="N25" s="15">
        <v>0</v>
      </c>
      <c r="O25" s="14">
        <v>0</v>
      </c>
      <c r="P25" s="14">
        <v>0</v>
      </c>
      <c r="Q25" s="14">
        <v>0</v>
      </c>
      <c r="R25" s="14">
        <v>0</v>
      </c>
      <c r="T25" s="16"/>
      <c r="U25" s="16"/>
      <c r="V25" s="17"/>
    </row>
    <row r="26" spans="1:22" ht="52.5">
      <c r="A26" s="10">
        <v>8</v>
      </c>
      <c r="B26" s="11" t="s">
        <v>47</v>
      </c>
      <c r="C26" s="101">
        <v>365</v>
      </c>
      <c r="D26" s="80">
        <v>120</v>
      </c>
      <c r="E26" s="79">
        <f>(D26-C26)/C26*100</f>
        <v>-67.12328767123287</v>
      </c>
      <c r="F26" s="103">
        <v>365</v>
      </c>
      <c r="G26" s="80">
        <v>180</v>
      </c>
      <c r="H26" s="79">
        <f>(G26-F26)/F26*100</f>
        <v>-50.68493150684932</v>
      </c>
      <c r="I26" s="103">
        <v>0</v>
      </c>
      <c r="J26" s="80">
        <v>365</v>
      </c>
      <c r="K26" s="15">
        <f>(J26-I26)/J26*100</f>
        <v>100</v>
      </c>
      <c r="L26" s="101">
        <v>365</v>
      </c>
      <c r="M26" s="14">
        <v>0</v>
      </c>
      <c r="N26" s="15">
        <f>(M26-L26)/L26*100</f>
        <v>-100</v>
      </c>
      <c r="O26" s="14">
        <v>0</v>
      </c>
      <c r="P26" s="14">
        <v>0</v>
      </c>
      <c r="Q26" s="14">
        <v>0</v>
      </c>
      <c r="R26" s="14">
        <f>D26+G26+J26+M26+P26</f>
        <v>665</v>
      </c>
      <c r="T26" s="16"/>
      <c r="U26" s="16"/>
      <c r="V26" s="17"/>
    </row>
    <row r="27" ht="13.5">
      <c r="A27" s="2"/>
    </row>
    <row r="28" spans="1:18" ht="33.75" customHeight="1">
      <c r="A28" s="178" t="s">
        <v>48</v>
      </c>
      <c r="B28" s="179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79"/>
      <c r="O28" s="179"/>
      <c r="P28" s="179"/>
      <c r="Q28" s="179"/>
      <c r="R28" s="179"/>
    </row>
    <row r="29" spans="1:20" ht="28.5" customHeight="1" thickBot="1">
      <c r="A29" s="161" t="s">
        <v>260</v>
      </c>
      <c r="B29" s="161"/>
      <c r="C29" s="161"/>
      <c r="D29" s="161"/>
      <c r="E29" s="161"/>
      <c r="F29" s="161"/>
      <c r="G29" s="161"/>
      <c r="H29" s="161"/>
      <c r="I29" s="161"/>
      <c r="J29" s="161"/>
      <c r="K29" s="161"/>
      <c r="L29" s="161"/>
      <c r="M29" s="161"/>
      <c r="N29" s="161"/>
      <c r="O29" s="161"/>
      <c r="P29" s="161"/>
      <c r="Q29" s="161"/>
      <c r="R29" s="161"/>
      <c r="S29" s="161"/>
      <c r="T29" s="161"/>
    </row>
    <row r="30" spans="2:20" ht="13.5">
      <c r="B30" s="171" t="s">
        <v>49</v>
      </c>
      <c r="C30" s="172"/>
      <c r="D30" s="173"/>
      <c r="E30" s="171">
        <v>15</v>
      </c>
      <c r="F30" s="172"/>
      <c r="G30" s="172">
        <v>150</v>
      </c>
      <c r="H30" s="172"/>
      <c r="I30" s="172">
        <v>250</v>
      </c>
      <c r="J30" s="172"/>
      <c r="K30" s="172">
        <v>670</v>
      </c>
      <c r="L30" s="173"/>
      <c r="M30" s="171">
        <v>15</v>
      </c>
      <c r="N30" s="172"/>
      <c r="O30" s="172">
        <v>150</v>
      </c>
      <c r="P30" s="172"/>
      <c r="Q30" s="172">
        <v>250</v>
      </c>
      <c r="R30" s="172"/>
      <c r="S30" s="172">
        <v>670</v>
      </c>
      <c r="T30" s="173"/>
    </row>
    <row r="31" spans="2:20" ht="13.5">
      <c r="B31" s="166" t="s">
        <v>50</v>
      </c>
      <c r="C31" s="160"/>
      <c r="D31" s="167"/>
      <c r="E31" s="30" t="s">
        <v>51</v>
      </c>
      <c r="F31" s="13" t="s">
        <v>52</v>
      </c>
      <c r="G31" s="13" t="s">
        <v>51</v>
      </c>
      <c r="H31" s="13" t="s">
        <v>52</v>
      </c>
      <c r="I31" s="13" t="s">
        <v>51</v>
      </c>
      <c r="J31" s="13" t="s">
        <v>52</v>
      </c>
      <c r="K31" s="13" t="s">
        <v>51</v>
      </c>
      <c r="L31" s="31" t="s">
        <v>52</v>
      </c>
      <c r="M31" s="30" t="s">
        <v>51</v>
      </c>
      <c r="N31" s="13" t="s">
        <v>52</v>
      </c>
      <c r="O31" s="13" t="s">
        <v>51</v>
      </c>
      <c r="P31" s="13" t="s">
        <v>52</v>
      </c>
      <c r="Q31" s="13" t="s">
        <v>51</v>
      </c>
      <c r="R31" s="13" t="s">
        <v>52</v>
      </c>
      <c r="S31" s="13" t="s">
        <v>51</v>
      </c>
      <c r="T31" s="31" t="s">
        <v>52</v>
      </c>
    </row>
    <row r="32" spans="2:20" ht="118.5">
      <c r="B32" s="30" t="s">
        <v>53</v>
      </c>
      <c r="C32" s="13" t="s">
        <v>54</v>
      </c>
      <c r="D32" s="31" t="s">
        <v>55</v>
      </c>
      <c r="E32" s="30" t="s">
        <v>228</v>
      </c>
      <c r="F32" s="13" t="s">
        <v>229</v>
      </c>
      <c r="G32" s="13" t="s">
        <v>228</v>
      </c>
      <c r="H32" s="13" t="s">
        <v>228</v>
      </c>
      <c r="I32" s="13" t="s">
        <v>228</v>
      </c>
      <c r="J32" s="13" t="s">
        <v>228</v>
      </c>
      <c r="K32" s="13" t="s">
        <v>228</v>
      </c>
      <c r="L32" s="31" t="s">
        <v>228</v>
      </c>
      <c r="M32" s="30" t="s">
        <v>228</v>
      </c>
      <c r="N32" s="13" t="s">
        <v>229</v>
      </c>
      <c r="O32" s="13" t="s">
        <v>228</v>
      </c>
      <c r="P32" s="13" t="s">
        <v>228</v>
      </c>
      <c r="Q32" s="13" t="s">
        <v>228</v>
      </c>
      <c r="R32" s="13" t="s">
        <v>228</v>
      </c>
      <c r="S32" s="13" t="s">
        <v>228</v>
      </c>
      <c r="T32" s="31" t="s">
        <v>228</v>
      </c>
    </row>
    <row r="33" spans="2:20" ht="15" customHeight="1">
      <c r="B33" s="166" t="s">
        <v>242</v>
      </c>
      <c r="C33" s="160"/>
      <c r="D33" s="167"/>
      <c r="E33" s="166" t="s">
        <v>241</v>
      </c>
      <c r="F33" s="160"/>
      <c r="G33" s="160"/>
      <c r="H33" s="160"/>
      <c r="I33" s="160"/>
      <c r="J33" s="160"/>
      <c r="K33" s="160"/>
      <c r="L33" s="167"/>
      <c r="M33" s="166" t="s">
        <v>243</v>
      </c>
      <c r="N33" s="160"/>
      <c r="O33" s="160"/>
      <c r="P33" s="160"/>
      <c r="Q33" s="160"/>
      <c r="R33" s="160"/>
      <c r="S33" s="160"/>
      <c r="T33" s="167"/>
    </row>
    <row r="34" spans="2:20" ht="13.5">
      <c r="B34" s="170" t="s">
        <v>226</v>
      </c>
      <c r="C34" s="165" t="s">
        <v>56</v>
      </c>
      <c r="D34" s="114" t="s">
        <v>57</v>
      </c>
      <c r="E34" s="162">
        <f>29239.32*1.2</f>
        <v>35087.184</v>
      </c>
      <c r="F34" s="164">
        <v>550</v>
      </c>
      <c r="G34" s="162">
        <f>29239.32*1.2</f>
        <v>35087.184</v>
      </c>
      <c r="H34" s="162">
        <f>29239.32*1.2</f>
        <v>35087.184</v>
      </c>
      <c r="I34" s="106">
        <f>(29249.94+2*(4204843.44*0.3)+5352.11*250)</f>
        <v>3890183.504</v>
      </c>
      <c r="J34" s="106">
        <f>29249.94+(4204843.44*0.3)+5352.11*250</f>
        <v>2628730.472</v>
      </c>
      <c r="K34" s="106">
        <f>29249.94+2*(4204843.44*0.3)+5352.11*670</f>
        <v>6138069.704</v>
      </c>
      <c r="L34" s="107">
        <f>29249.94+(4204843.44*0.3)+5352.11*670</f>
        <v>4876616.672</v>
      </c>
      <c r="M34" s="105">
        <f>(571.99)*15</f>
        <v>8579.85</v>
      </c>
      <c r="N34" s="164">
        <v>550</v>
      </c>
      <c r="O34" s="106">
        <f>(571.99)*150</f>
        <v>85798.5</v>
      </c>
      <c r="P34" s="117">
        <f aca="true" t="shared" si="0" ref="P34:P41">(571.99)*150</f>
        <v>85798.5</v>
      </c>
      <c r="Q34" s="106">
        <f>(393.18+2*9105.9*0.3+5438.15)*250</f>
        <v>2823717.4999999995</v>
      </c>
      <c r="R34" s="106">
        <f>(393.18+9105.9*0.3+5438.15)*250</f>
        <v>2140774.9999999995</v>
      </c>
      <c r="S34" s="106">
        <f>(393.18+2*9105.9*0.3+5438.15)*670</f>
        <v>7567562.899999999</v>
      </c>
      <c r="T34" s="107">
        <f>(393.18+9105.9*0.3+5438.15)*670</f>
        <v>5737276.999999999</v>
      </c>
    </row>
    <row r="35" spans="2:20" ht="13.5">
      <c r="B35" s="170"/>
      <c r="C35" s="165"/>
      <c r="D35" s="114" t="s">
        <v>58</v>
      </c>
      <c r="E35" s="163"/>
      <c r="F35" s="174"/>
      <c r="G35" s="163"/>
      <c r="H35" s="163"/>
      <c r="I35" s="106">
        <f>(29249.94+2*(1049755.94*0.3)+5352.11*250)</f>
        <v>1997131.0039999997</v>
      </c>
      <c r="J35" s="106">
        <f>29249.94+(1049755.94*0.3)+5352.11*250</f>
        <v>1682204.222</v>
      </c>
      <c r="K35" s="106">
        <f>29249.94+2*(1049755*0.3)+5352.11*670</f>
        <v>4245016.64</v>
      </c>
      <c r="L35" s="107">
        <f>29249.94+(1049755*0.3)+5352.11*670</f>
        <v>3930090.1399999997</v>
      </c>
      <c r="M35" s="105">
        <f aca="true" t="shared" si="1" ref="M35:M41">(571.99)*15</f>
        <v>8579.85</v>
      </c>
      <c r="N35" s="174"/>
      <c r="O35" s="117">
        <f aca="true" t="shared" si="2" ref="O35:P41">(571.99)*150</f>
        <v>85798.5</v>
      </c>
      <c r="P35" s="117">
        <f t="shared" si="0"/>
        <v>85798.5</v>
      </c>
      <c r="Q35" s="106">
        <f>(393.18+2*2357.6*0.3+5438.15)*250</f>
        <v>1811472.4999999998</v>
      </c>
      <c r="R35" s="106">
        <f>(393.18+2357.6*0.3+5438.15)*250</f>
        <v>1634652.5</v>
      </c>
      <c r="S35" s="106">
        <f>(393.18+2*2357.6*0.3+5438.15)*670</f>
        <v>4854746.3</v>
      </c>
      <c r="T35" s="107">
        <f>(393.18+2357.6*0.3+5438.15)*670</f>
        <v>4380868.7</v>
      </c>
    </row>
    <row r="36" spans="2:20" ht="13.5">
      <c r="B36" s="170"/>
      <c r="C36" s="165" t="s">
        <v>59</v>
      </c>
      <c r="D36" s="114" t="s">
        <v>57</v>
      </c>
      <c r="E36" s="162">
        <f>29239.32*1.2</f>
        <v>35087.184</v>
      </c>
      <c r="F36" s="164">
        <v>550</v>
      </c>
      <c r="G36" s="162">
        <f>29239.32*1.2</f>
        <v>35087.184</v>
      </c>
      <c r="H36" s="162">
        <f>29239.32*1.2</f>
        <v>35087.184</v>
      </c>
      <c r="I36" s="106">
        <f>29249.94+2*(4204843.44*0.3)</f>
        <v>2552156.004</v>
      </c>
      <c r="J36" s="106">
        <f>29249.94+(4204843.44*0.3)</f>
        <v>1290702.972</v>
      </c>
      <c r="K36" s="106">
        <f>29249.94+2*(4204843.44*0.3)</f>
        <v>2552156.004</v>
      </c>
      <c r="L36" s="107">
        <f>29249.94+(4204843.44*0.3)</f>
        <v>1290702.972</v>
      </c>
      <c r="M36" s="105">
        <f t="shared" si="1"/>
        <v>8579.85</v>
      </c>
      <c r="N36" s="164">
        <v>550</v>
      </c>
      <c r="O36" s="117">
        <f t="shared" si="2"/>
        <v>85798.5</v>
      </c>
      <c r="P36" s="117">
        <f t="shared" si="0"/>
        <v>85798.5</v>
      </c>
      <c r="Q36" s="106">
        <f>(393.18+2*9105.9*0.3)*250</f>
        <v>1464180</v>
      </c>
      <c r="R36" s="106">
        <f>(393.18+9105.9*0.3)*250</f>
        <v>781237.5</v>
      </c>
      <c r="S36" s="106">
        <f>(393.18+2*9105.9*0.3)*670</f>
        <v>3924002.4000000004</v>
      </c>
      <c r="T36" s="107">
        <f>(393.18+9105.9*0.3)*670</f>
        <v>2093716.4999999998</v>
      </c>
    </row>
    <row r="37" spans="2:20" ht="13.5">
      <c r="B37" s="170"/>
      <c r="C37" s="165"/>
      <c r="D37" s="114" t="s">
        <v>58</v>
      </c>
      <c r="E37" s="163"/>
      <c r="F37" s="164"/>
      <c r="G37" s="163"/>
      <c r="H37" s="163"/>
      <c r="I37" s="106">
        <f>29249.94+2*(1049755*0.3)</f>
        <v>659102.94</v>
      </c>
      <c r="J37" s="106">
        <f>29249.94+(1049755*0.3)</f>
        <v>344176.44</v>
      </c>
      <c r="K37" s="106">
        <f>29249.94+2*(1049755*0.3)</f>
        <v>659102.94</v>
      </c>
      <c r="L37" s="107">
        <f>29249.94+(1049755*0.3)</f>
        <v>344176.44</v>
      </c>
      <c r="M37" s="105">
        <f t="shared" si="1"/>
        <v>8579.85</v>
      </c>
      <c r="N37" s="164"/>
      <c r="O37" s="117">
        <f t="shared" si="2"/>
        <v>85798.5</v>
      </c>
      <c r="P37" s="117">
        <f t="shared" si="0"/>
        <v>85798.5</v>
      </c>
      <c r="Q37" s="106">
        <f>(393.18+2*2357.6*0.3)*250</f>
        <v>451935</v>
      </c>
      <c r="R37" s="106">
        <f>(393.18+2357.6*0.3)*250</f>
        <v>275115</v>
      </c>
      <c r="S37" s="106">
        <f>(393.18+2*2357.6*0.3)*670</f>
        <v>1211185.8</v>
      </c>
      <c r="T37" s="107">
        <f>(393.18+2357.6*0.3)*670</f>
        <v>737308.2000000001</v>
      </c>
    </row>
    <row r="38" spans="2:20" ht="13.5">
      <c r="B38" s="170" t="s">
        <v>227</v>
      </c>
      <c r="C38" s="165" t="s">
        <v>56</v>
      </c>
      <c r="D38" s="114" t="s">
        <v>57</v>
      </c>
      <c r="E38" s="162">
        <f>29239.32*1.2</f>
        <v>35087.184</v>
      </c>
      <c r="F38" s="164">
        <v>550</v>
      </c>
      <c r="G38" s="162">
        <f>29239.32*1.2</f>
        <v>35087.184</v>
      </c>
      <c r="H38" s="162">
        <f>29239.32*1.2</f>
        <v>35087.184</v>
      </c>
      <c r="I38" s="106">
        <f>29249.94+2*(4204843.44*0.5)+5352.11*250</f>
        <v>5572120.880000001</v>
      </c>
      <c r="J38" s="106">
        <f>29249.94+(4204843.44*0.5)+5352.11*250</f>
        <v>3469699.16</v>
      </c>
      <c r="K38" s="106">
        <f>29249.94+2*(4204843.44*0.5)+5352.11*670</f>
        <v>7820007.08</v>
      </c>
      <c r="L38" s="107">
        <f>29249.94+(4204843.44*0.5)+5352.11*670</f>
        <v>5717585.359999999</v>
      </c>
      <c r="M38" s="105">
        <f t="shared" si="1"/>
        <v>8579.85</v>
      </c>
      <c r="N38" s="164">
        <v>550</v>
      </c>
      <c r="O38" s="117">
        <f t="shared" si="2"/>
        <v>85798.5</v>
      </c>
      <c r="P38" s="117">
        <f t="shared" si="0"/>
        <v>85798.5</v>
      </c>
      <c r="Q38" s="106">
        <f>(393.18+2*14006.07*0.5+3757.9)*250</f>
        <v>4539287.5</v>
      </c>
      <c r="R38" s="106">
        <f>(393.18+14006.07*0.5+3757.9)*250</f>
        <v>2788528.75</v>
      </c>
      <c r="S38" s="106">
        <f>(393.18+2*14006.07*0.5+3757.9)*650</f>
        <v>11802147.500000002</v>
      </c>
      <c r="T38" s="107">
        <f>(393.18+14006.07*0.5+3757.9)*670</f>
        <v>7473257.05</v>
      </c>
    </row>
    <row r="39" spans="2:20" ht="13.5">
      <c r="B39" s="170"/>
      <c r="C39" s="165"/>
      <c r="D39" s="114" t="s">
        <v>58</v>
      </c>
      <c r="E39" s="163"/>
      <c r="F39" s="164"/>
      <c r="G39" s="163"/>
      <c r="H39" s="163"/>
      <c r="I39" s="106">
        <f>29249.94+2*(1049755.94*0.5)+5352.11*250</f>
        <v>2417033.38</v>
      </c>
      <c r="J39" s="106">
        <f>29249.94+(1049755.94*0.5)+5352.11*250</f>
        <v>1892155.41</v>
      </c>
      <c r="K39" s="106">
        <f>29249.94+2*(1049755.94*0.5)+5352.11*670</f>
        <v>4664919.58</v>
      </c>
      <c r="L39" s="107">
        <f>29249.94+(1049755.94*0.5)+5352.11*670</f>
        <v>4140041.6099999994</v>
      </c>
      <c r="M39" s="105">
        <f t="shared" si="1"/>
        <v>8579.85</v>
      </c>
      <c r="N39" s="164"/>
      <c r="O39" s="117">
        <f t="shared" si="2"/>
        <v>85798.5</v>
      </c>
      <c r="P39" s="117">
        <f t="shared" si="0"/>
        <v>85798.5</v>
      </c>
      <c r="Q39" s="106">
        <f>(393.18+2*10046.6*0.5+3757.9)*250</f>
        <v>3549420</v>
      </c>
      <c r="R39" s="106">
        <f>(393.18+10046.6*0.5+3757.9)*250</f>
        <v>2293595.0000000005</v>
      </c>
      <c r="S39" s="106">
        <f>(393.18+2*10046.6*0.5+3757.9)*670</f>
        <v>9512445.6</v>
      </c>
      <c r="T39" s="107">
        <f>(393.18+10046.6*0.5+3757.9)*670</f>
        <v>6146834.600000001</v>
      </c>
    </row>
    <row r="40" spans="2:20" ht="13.5">
      <c r="B40" s="170"/>
      <c r="C40" s="165" t="s">
        <v>59</v>
      </c>
      <c r="D40" s="114" t="s">
        <v>57</v>
      </c>
      <c r="E40" s="162">
        <f>29239.32*1.2</f>
        <v>35087.184</v>
      </c>
      <c r="F40" s="164">
        <v>550</v>
      </c>
      <c r="G40" s="162">
        <f>29239.32*1.2</f>
        <v>35087.184</v>
      </c>
      <c r="H40" s="162">
        <f>29239.32*1.2</f>
        <v>35087.184</v>
      </c>
      <c r="I40" s="106">
        <f>29249.94+2*(4204843.44*0.5)</f>
        <v>4234093.380000001</v>
      </c>
      <c r="J40" s="106">
        <f>29249.94+(4204843.44*0.5)</f>
        <v>2131671.66</v>
      </c>
      <c r="K40" s="106">
        <f>29249.94+2*(4204843.44*0.5)</f>
        <v>4234093.380000001</v>
      </c>
      <c r="L40" s="107">
        <f>29249.94+(4204843.44*0.5)</f>
        <v>2131671.66</v>
      </c>
      <c r="M40" s="105">
        <f t="shared" si="1"/>
        <v>8579.85</v>
      </c>
      <c r="N40" s="164">
        <v>550</v>
      </c>
      <c r="O40" s="117">
        <f t="shared" si="2"/>
        <v>85798.5</v>
      </c>
      <c r="P40" s="117">
        <f t="shared" si="0"/>
        <v>85798.5</v>
      </c>
      <c r="Q40" s="106">
        <f>(393.18+2*14006.07*0.5)*250</f>
        <v>3599812.5</v>
      </c>
      <c r="R40" s="106">
        <f>(393.18+14006.07*0.5)*250</f>
        <v>1849053.75</v>
      </c>
      <c r="S40" s="106">
        <f>(393.18+2*14006.07*0.5)*670</f>
        <v>9647497.5</v>
      </c>
      <c r="T40" s="107">
        <f>(393.18+14006.07*0.5)*670</f>
        <v>4955464.05</v>
      </c>
    </row>
    <row r="41" spans="2:20" ht="13.5">
      <c r="B41" s="170"/>
      <c r="C41" s="165"/>
      <c r="D41" s="114" t="s">
        <v>58</v>
      </c>
      <c r="E41" s="163"/>
      <c r="F41" s="164"/>
      <c r="G41" s="163"/>
      <c r="H41" s="163"/>
      <c r="I41" s="106">
        <f>29249.94+2*(1049755.94*0.5)</f>
        <v>1079005.88</v>
      </c>
      <c r="J41" s="106">
        <f>29249.94+(1049755.94*0.5)</f>
        <v>554127.9099999999</v>
      </c>
      <c r="K41" s="106">
        <f>29249.94+2*(1049755.94*0.5)</f>
        <v>1079005.88</v>
      </c>
      <c r="L41" s="107">
        <f>29249.94+(1049755.94*0.5)</f>
        <v>554127.9099999999</v>
      </c>
      <c r="M41" s="105">
        <f t="shared" si="1"/>
        <v>8579.85</v>
      </c>
      <c r="N41" s="164"/>
      <c r="O41" s="117">
        <f t="shared" si="2"/>
        <v>85798.5</v>
      </c>
      <c r="P41" s="117">
        <f t="shared" si="0"/>
        <v>85798.5</v>
      </c>
      <c r="Q41" s="106">
        <f>(393.18+2*10046.6*0.5)*250</f>
        <v>2609945</v>
      </c>
      <c r="R41" s="106">
        <f>(393.18+10046.6*0.5)*250</f>
        <v>1354120.0000000002</v>
      </c>
      <c r="S41" s="106">
        <f>(393.18+2*10046.6*0.5)*670</f>
        <v>6994652.600000001</v>
      </c>
      <c r="T41" s="107">
        <f>(393.18+10046.6*0.5)*670</f>
        <v>3629041.6</v>
      </c>
    </row>
    <row r="42" spans="2:20" ht="13.5">
      <c r="B42" s="168">
        <v>750</v>
      </c>
      <c r="C42" s="169" t="s">
        <v>56</v>
      </c>
      <c r="D42" s="115" t="s">
        <v>57</v>
      </c>
      <c r="E42" s="108">
        <f>29249.94+2*(4204843.44*0.75)+5352.11*15</f>
        <v>6416796.750000001</v>
      </c>
      <c r="F42" s="110">
        <f>29249.94+(4204843.44*0.75)+5352.11*15</f>
        <v>3263164.17</v>
      </c>
      <c r="G42" s="110">
        <f>29249.94+2*(4204843.44*0.75)+5352.11*150</f>
        <v>7139331.600000001</v>
      </c>
      <c r="H42" s="110">
        <f>29249.94+(4204843.44*0.75)+5352.11*150</f>
        <v>3985699.02</v>
      </c>
      <c r="I42" s="110">
        <f>29249.94+2*(4204843.44*0.75)+5352.11*250</f>
        <v>7674542.600000001</v>
      </c>
      <c r="J42" s="110">
        <f>29249.94+(4204843.44*0.75)+5352.11*250</f>
        <v>4520910.02</v>
      </c>
      <c r="K42" s="110">
        <f>29249.94+2*(4204843.44*0.75)+5352.11*670</f>
        <v>9922428.8</v>
      </c>
      <c r="L42" s="112">
        <f>29249.94+(4204843.44*0.75)+5352.11*670</f>
        <v>6768796.22</v>
      </c>
      <c r="M42" s="108">
        <f>393.18*15+2*(4204843.44*0.75)+5352.11*15</f>
        <v>6393444.510000001</v>
      </c>
      <c r="N42" s="110">
        <f>393.18*15+(4204843.44*0.75)+5352.11*15</f>
        <v>3239811.93</v>
      </c>
      <c r="O42" s="110">
        <f>393.18*150+2*(4204843.44*0.75)+5352.11*150</f>
        <v>7169058.66</v>
      </c>
      <c r="P42" s="110">
        <f>393.18*150+(4204843.44*0.75)+5352.11*150</f>
        <v>4015426.08</v>
      </c>
      <c r="Q42" s="110">
        <f>393.18*250+2*(4204843.44*0.75)+5352.11*250</f>
        <v>7743587.66</v>
      </c>
      <c r="R42" s="110">
        <f>393.18*250+(4204843.44*0.75)+5352.11*250</f>
        <v>4589955.08</v>
      </c>
      <c r="S42" s="110">
        <f>393.18*670+2*(4204843.44*0.75)+5352.11*670</f>
        <v>10156609.459999999</v>
      </c>
      <c r="T42" s="112">
        <f>393.18*670+(4204843.44*0.75)+5352.11*670</f>
        <v>7002976.88</v>
      </c>
    </row>
    <row r="43" spans="2:20" ht="13.5">
      <c r="B43" s="168"/>
      <c r="C43" s="169"/>
      <c r="D43" s="115" t="s">
        <v>58</v>
      </c>
      <c r="E43" s="108">
        <f>29249.94+2*(1049755.94*0.75)+5352.11*15</f>
        <v>1684165.4999999998</v>
      </c>
      <c r="F43" s="110">
        <f>29249.94+(1049755.94*0.75)+5352.11*15</f>
        <v>896848.5449999999</v>
      </c>
      <c r="G43" s="110">
        <f>29249.94+2*(1049755.94*0.75)+5352.11*150</f>
        <v>2406700.3499999996</v>
      </c>
      <c r="H43" s="110">
        <f>29249.94+(1049755.94*0.75)+5352.11*150</f>
        <v>1619383.395</v>
      </c>
      <c r="I43" s="110">
        <f>29249.94+2*(1049755.94*0.75)+5352.11*250</f>
        <v>2941911.3499999996</v>
      </c>
      <c r="J43" s="110">
        <f>29249.94+(1049755.94*0.75)+5352.11*250</f>
        <v>2154594.395</v>
      </c>
      <c r="K43" s="110">
        <f>29249.94+2*(1049755.94*0.75)+5352.11*670</f>
        <v>5189797.55</v>
      </c>
      <c r="L43" s="112">
        <f>29249.94+(1049755.94*0.75)+5352.11*670</f>
        <v>4402480.595</v>
      </c>
      <c r="M43" s="108">
        <f>393.18*15+2*(1049755.94*0.75)+5352.11*15</f>
        <v>1660813.2599999998</v>
      </c>
      <c r="N43" s="110">
        <f>393.18*15+(1049755.94*0.75)+5352.11*15</f>
        <v>873496.3049999999</v>
      </c>
      <c r="O43" s="110">
        <f>393.18*150+2*(1049755.94*0.75)+5352.11*150</f>
        <v>2436427.41</v>
      </c>
      <c r="P43" s="110">
        <f>393.18*150+(1049755.94*0.75)+5352.11*150</f>
        <v>1649110.455</v>
      </c>
      <c r="Q43" s="110">
        <f>393.18*250+2*(1049755.94*0.75)+5352.11*250</f>
        <v>3010956.41</v>
      </c>
      <c r="R43" s="110">
        <f>393.18*250+(1049755.94*0.75)+5352.11*250</f>
        <v>2223639.455</v>
      </c>
      <c r="S43" s="110">
        <f>393.18*670+2*(1049755.94*0.75)+5352.11*670</f>
        <v>5423978.209999999</v>
      </c>
      <c r="T43" s="112">
        <f>393.18*670+(1049755.94*0.75)+5352.11*670</f>
        <v>4636661.255</v>
      </c>
    </row>
    <row r="44" spans="2:20" ht="13.5">
      <c r="B44" s="168"/>
      <c r="C44" s="169" t="s">
        <v>59</v>
      </c>
      <c r="D44" s="115" t="s">
        <v>57</v>
      </c>
      <c r="E44" s="108">
        <f>29249.94+2*(4204843.44*0.75)</f>
        <v>6336515.100000001</v>
      </c>
      <c r="F44" s="110">
        <f>29249.94+(4204843.44*0.75)</f>
        <v>3182882.52</v>
      </c>
      <c r="G44" s="110">
        <f>29249.94+2*(4204843.44*0.75)</f>
        <v>6336515.100000001</v>
      </c>
      <c r="H44" s="110">
        <f>29249.94+(4204843.44*0.75)</f>
        <v>3182882.52</v>
      </c>
      <c r="I44" s="110">
        <f>29249.94+2*(4204843.44*0.75)</f>
        <v>6336515.100000001</v>
      </c>
      <c r="J44" s="110">
        <f>29249.94+(4204843.44*0.75)</f>
        <v>3182882.52</v>
      </c>
      <c r="K44" s="110">
        <f>29249.94+2*(4204843.44*0.75)</f>
        <v>6336515.100000001</v>
      </c>
      <c r="L44" s="112">
        <f>29249.94+(4204843.44*0.75)</f>
        <v>3182882.52</v>
      </c>
      <c r="M44" s="108">
        <f>393.18*15+2*(4204843.44*0.75)</f>
        <v>6313162.86</v>
      </c>
      <c r="N44" s="110">
        <f>393.18*15+(4204843.44*0.75)</f>
        <v>3159530.2800000003</v>
      </c>
      <c r="O44" s="110">
        <f>393.18*150+2*(4204843.44*0.75)</f>
        <v>6366242.16</v>
      </c>
      <c r="P44" s="110">
        <f>393.18*150+(4204843.44*0.75)</f>
        <v>3212609.58</v>
      </c>
      <c r="Q44" s="110">
        <f>393.18*250+2*(4204843.44*0.75)</f>
        <v>6405560.16</v>
      </c>
      <c r="R44" s="110">
        <f>393.18*250+(4204843.44*0.75)</f>
        <v>3251927.58</v>
      </c>
      <c r="S44" s="110">
        <f>393.18*670+2*(4204843.44*0.75)</f>
        <v>6570695.76</v>
      </c>
      <c r="T44" s="112">
        <f>393.18*670+(4204843.44*0.75)</f>
        <v>3417063.18</v>
      </c>
    </row>
    <row r="45" spans="2:20" ht="13.5">
      <c r="B45" s="168"/>
      <c r="C45" s="169"/>
      <c r="D45" s="115" t="s">
        <v>58</v>
      </c>
      <c r="E45" s="108">
        <f>29249.94+2*(1049755.94*0.75)</f>
        <v>1603883.8499999999</v>
      </c>
      <c r="F45" s="110">
        <f>29249.94+(1049755.94*0.75)</f>
        <v>816566.8949999999</v>
      </c>
      <c r="G45" s="110">
        <f>29249.94+2*(1049755.94*0.75)</f>
        <v>1603883.8499999999</v>
      </c>
      <c r="H45" s="110">
        <f>29249.94+(1049755.94*0.75)</f>
        <v>816566.8949999999</v>
      </c>
      <c r="I45" s="110">
        <f>29249.94+2*(1049755.94*0.75)</f>
        <v>1603883.8499999999</v>
      </c>
      <c r="J45" s="110">
        <f>29249.94+(1049755.94*0.75)</f>
        <v>816566.8949999999</v>
      </c>
      <c r="K45" s="110">
        <f>29249.94+2*(1049755.94*0.75)</f>
        <v>1603883.8499999999</v>
      </c>
      <c r="L45" s="112">
        <f>29249.94+(1049755.94*0.75)</f>
        <v>816566.8949999999</v>
      </c>
      <c r="M45" s="108">
        <f>393.18*15+2*(1049755.94*0.75)</f>
        <v>1580531.6099999999</v>
      </c>
      <c r="N45" s="110">
        <f>393.18*15+(1049755.94*0.75)</f>
        <v>793214.6549999999</v>
      </c>
      <c r="O45" s="110">
        <f>393.18*150+2*(1049755.94*0.75)</f>
        <v>1633610.91</v>
      </c>
      <c r="P45" s="110">
        <f>393.18*150+(1049755.94*0.75)</f>
        <v>846293.955</v>
      </c>
      <c r="Q45" s="110">
        <f>393.18*250+2*(1049755.94*0.75)</f>
        <v>1672928.91</v>
      </c>
      <c r="R45" s="110">
        <f>393.18*250+(1049755.94*0.75)</f>
        <v>885611.955</v>
      </c>
      <c r="S45" s="110">
        <f>393.18*670+2*(1049755.94*0.75)</f>
        <v>1838064.5099999998</v>
      </c>
      <c r="T45" s="112">
        <f>393.18*670+(1049755.94*0.75)</f>
        <v>1050747.555</v>
      </c>
    </row>
    <row r="46" spans="2:20" ht="13.5">
      <c r="B46" s="168">
        <v>1000</v>
      </c>
      <c r="C46" s="169" t="s">
        <v>56</v>
      </c>
      <c r="D46" s="115" t="s">
        <v>57</v>
      </c>
      <c r="E46" s="108">
        <f>29249.94+2*(4204843.44*1)+5352.11*15</f>
        <v>8519218.47</v>
      </c>
      <c r="F46" s="110">
        <f>29249.94+(4204843.44*1)+5352.11*15</f>
        <v>4314375.030000001</v>
      </c>
      <c r="G46" s="110">
        <f>29249.94+2*(4204843.44*1)+5352.11*150</f>
        <v>9241753.32</v>
      </c>
      <c r="H46" s="110">
        <f>29249.94+(4204843.44*1)+5352.11*150</f>
        <v>5036909.880000001</v>
      </c>
      <c r="I46" s="110">
        <f>29249.94+2*(4204843.44*1)+5352.11*250</f>
        <v>9776964.32</v>
      </c>
      <c r="J46" s="110">
        <f>29249.94+(4204843.44*1)+5352.11*250</f>
        <v>5572120.880000001</v>
      </c>
      <c r="K46" s="110">
        <f>29249.94+2*(4204843.44*1)+5352.11*670</f>
        <v>12024850.52</v>
      </c>
      <c r="L46" s="112">
        <f>29249.94+(4204843.44*1)+5352.11*670</f>
        <v>7820007.08</v>
      </c>
      <c r="M46" s="108">
        <f>393.18*15+2*(4204843.44*1)+5352.11*15</f>
        <v>8495866.23</v>
      </c>
      <c r="N46" s="110">
        <f>393.18*15+(4204843.44*1)+5352.11*15</f>
        <v>4291022.790000001</v>
      </c>
      <c r="O46" s="110">
        <f>393.18*150+2*(4204843.44*1)+5352.11*150</f>
        <v>9271480.38</v>
      </c>
      <c r="P46" s="110">
        <f>393.18*150+(4204843.44*1)+5352.11*150</f>
        <v>5066636.94</v>
      </c>
      <c r="Q46" s="110">
        <f>393.18*250+2*(4204843.44*1)+5352.11*250</f>
        <v>9846009.38</v>
      </c>
      <c r="R46" s="110">
        <f>393.18*250+(4204843.44*1)+5352.11*250</f>
        <v>5641165.94</v>
      </c>
      <c r="S46" s="110">
        <f>393.18*670+2*(4204843.44*1)+5352.11*670</f>
        <v>12259031.18</v>
      </c>
      <c r="T46" s="112">
        <f>393.18*670+(4204843.44*1)+5352.11*670</f>
        <v>8054187.74</v>
      </c>
    </row>
    <row r="47" spans="2:20" ht="13.5">
      <c r="B47" s="168"/>
      <c r="C47" s="169"/>
      <c r="D47" s="115" t="s">
        <v>58</v>
      </c>
      <c r="E47" s="108">
        <f>29249.94+2*(1049755.94*1)+5352.11*15</f>
        <v>2209043.4699999997</v>
      </c>
      <c r="F47" s="110">
        <f>29249.94+(1049755.94*1)+5352.11*15</f>
        <v>1159287.5299999998</v>
      </c>
      <c r="G47" s="110">
        <f>29249.94+2*(1049755.94*1)+5352.11*150</f>
        <v>2931578.32</v>
      </c>
      <c r="H47" s="110">
        <f>29249.94+(1049755.94*1)+5352.11*150</f>
        <v>1881822.38</v>
      </c>
      <c r="I47" s="110">
        <f>29249.94+2*(1049755.94*1)+5352.11*250</f>
        <v>3466789.32</v>
      </c>
      <c r="J47" s="110">
        <f>29249.94+(1049755.94*1)+5352.11*250</f>
        <v>2417033.38</v>
      </c>
      <c r="K47" s="110">
        <f>29249.94+2*(1049755.94*1)+5352.11*670</f>
        <v>5714675.52</v>
      </c>
      <c r="L47" s="112">
        <f>29249.94+(1049755.94*1)+5352.11*670</f>
        <v>4664919.58</v>
      </c>
      <c r="M47" s="108">
        <f>393.18*15+2*(1049755.94*1)+5352.11*15</f>
        <v>2185691.23</v>
      </c>
      <c r="N47" s="110">
        <f>393.18*15+(1049755.94*1)+5352.11*15</f>
        <v>1135935.2899999998</v>
      </c>
      <c r="O47" s="110">
        <f>393.18*150+2*(1049755.94*1)+5352.11*150</f>
        <v>2961305.38</v>
      </c>
      <c r="P47" s="110">
        <f>393.18*150+(1049755.94*1)+5352.11*150</f>
        <v>1911549.44</v>
      </c>
      <c r="Q47" s="110">
        <f>393.18*250+2*(1049755.94*1)+5352.11*250</f>
        <v>3535834.38</v>
      </c>
      <c r="R47" s="110">
        <f>393.18*250+(1049755.94*1)+5352.11*250</f>
        <v>2486078.44</v>
      </c>
      <c r="S47" s="110">
        <f>393.18*670+2*(1049755.94*1)+5352.11*670</f>
        <v>5948856.18</v>
      </c>
      <c r="T47" s="112">
        <f>393.18*670+(1049755.94*1)+5352.11*670</f>
        <v>4899100.24</v>
      </c>
    </row>
    <row r="48" spans="2:20" ht="13.5">
      <c r="B48" s="168"/>
      <c r="C48" s="169" t="s">
        <v>59</v>
      </c>
      <c r="D48" s="115" t="s">
        <v>57</v>
      </c>
      <c r="E48" s="108">
        <f>29249.94+2*(4204843.44*1)</f>
        <v>8438936.82</v>
      </c>
      <c r="F48" s="110">
        <f>29249.94+(4204843.44*1)</f>
        <v>4234093.380000001</v>
      </c>
      <c r="G48" s="110">
        <f>29249.94+2*(4204843.44*1)</f>
        <v>8438936.82</v>
      </c>
      <c r="H48" s="110">
        <f>29249.94+(4204843.44*1)</f>
        <v>4234093.380000001</v>
      </c>
      <c r="I48" s="110">
        <f>29249.94+2*(4204843.44*1)</f>
        <v>8438936.82</v>
      </c>
      <c r="J48" s="110">
        <f>29249.94+(4204843.44*1)</f>
        <v>4234093.380000001</v>
      </c>
      <c r="K48" s="110">
        <f>29249.94+2*(4204843.44*1)</f>
        <v>8438936.82</v>
      </c>
      <c r="L48" s="112">
        <f>29249.94+(4204843.44*1)</f>
        <v>4234093.380000001</v>
      </c>
      <c r="M48" s="108">
        <f>393.18*15+2*(4204843.44*1)</f>
        <v>8415584.58</v>
      </c>
      <c r="N48" s="110">
        <f>393.18*15+(4204843.44*1)</f>
        <v>4210741.140000001</v>
      </c>
      <c r="O48" s="110">
        <f>393.18*150+2*(4204843.44*1)</f>
        <v>8468663.88</v>
      </c>
      <c r="P48" s="110">
        <f>393.18*150+(4204843.44*1)</f>
        <v>4263820.44</v>
      </c>
      <c r="Q48" s="110">
        <f>393.18*250+2*(4204843.44*1)</f>
        <v>8507981.88</v>
      </c>
      <c r="R48" s="110">
        <f>393.18*250+(4204843.44*1)</f>
        <v>4303138.44</v>
      </c>
      <c r="S48" s="110">
        <f>393.18*670+2*(4204843.44*1)</f>
        <v>8673117.48</v>
      </c>
      <c r="T48" s="112">
        <f>393.18*670+(4204843.44*1)</f>
        <v>4468274.04</v>
      </c>
    </row>
    <row r="49" spans="2:20" ht="13.5">
      <c r="B49" s="168"/>
      <c r="C49" s="169"/>
      <c r="D49" s="115" t="s">
        <v>58</v>
      </c>
      <c r="E49" s="108">
        <f>29249.94+2*(1049755.94*1)</f>
        <v>2128761.82</v>
      </c>
      <c r="F49" s="110">
        <f>29249.94+(1049755.94*1)</f>
        <v>1079005.88</v>
      </c>
      <c r="G49" s="110">
        <f>29249.94+2*(1049755.94*1)</f>
        <v>2128761.82</v>
      </c>
      <c r="H49" s="110">
        <f>29249.94+(1049755.94*1)</f>
        <v>1079005.88</v>
      </c>
      <c r="I49" s="110">
        <f>29249.94+2*(1049755.94*1)</f>
        <v>2128761.82</v>
      </c>
      <c r="J49" s="110">
        <f>29249.94+(1049755.94*1)</f>
        <v>1079005.88</v>
      </c>
      <c r="K49" s="110">
        <f>29249.94+2*(1049755.94*1)</f>
        <v>2128761.82</v>
      </c>
      <c r="L49" s="112">
        <f>29249.94+(1049755.94*1)</f>
        <v>1079005.88</v>
      </c>
      <c r="M49" s="108">
        <f>393.18*15+2*(1049755.94*1)</f>
        <v>2105409.58</v>
      </c>
      <c r="N49" s="110">
        <f>393.18*15+(1049755.94*1)</f>
        <v>1055653.64</v>
      </c>
      <c r="O49" s="110">
        <f>393.18*150+2*(1049755.94*1)</f>
        <v>2158488.88</v>
      </c>
      <c r="P49" s="110">
        <f>393.18*150+(1049755.94*1)</f>
        <v>1108732.94</v>
      </c>
      <c r="Q49" s="110">
        <f>393.18*250+2*(1049755.94*1)</f>
        <v>2197806.88</v>
      </c>
      <c r="R49" s="110">
        <f>393.18*250+(1049755.94*1)</f>
        <v>1148050.94</v>
      </c>
      <c r="S49" s="110">
        <f>393.18*670+2*(1049755.94*1)</f>
        <v>2362942.48</v>
      </c>
      <c r="T49" s="112">
        <f>393.18*670+(1049755.94*1)</f>
        <v>1313186.54</v>
      </c>
    </row>
    <row r="50" spans="2:20" ht="13.5">
      <c r="B50" s="168">
        <v>1250</v>
      </c>
      <c r="C50" s="169" t="s">
        <v>56</v>
      </c>
      <c r="D50" s="115" t="s">
        <v>57</v>
      </c>
      <c r="E50" s="108">
        <f>29249.94+2*(4204843.44*1.25)+5352.11*15</f>
        <v>10621640.190000001</v>
      </c>
      <c r="F50" s="110">
        <f>29249.94+(4204843.44*1.25)+5352.11*15</f>
        <v>5365585.8900000015</v>
      </c>
      <c r="G50" s="110">
        <f>29249.94+2*(4204843.44*1.25)+5352.11*150</f>
        <v>11344175.040000001</v>
      </c>
      <c r="H50" s="110">
        <f>29249.94+(4204843.44*1.25)+5352.11*150</f>
        <v>6088120.740000001</v>
      </c>
      <c r="I50" s="110">
        <f>29249.94+2*(4204843.44*1.25)+5352.11*250</f>
        <v>11879386.040000001</v>
      </c>
      <c r="J50" s="110">
        <f>29249.94+(4204843.44*1.25)+5352.11*250</f>
        <v>6623331.740000001</v>
      </c>
      <c r="K50" s="110">
        <f>29249.94+2*(4204843.44*1.25)+5352.11*670</f>
        <v>14127272.24</v>
      </c>
      <c r="L50" s="112">
        <f>29249.94+(4204843.44*1.25)+5352.11*670</f>
        <v>8871217.940000001</v>
      </c>
      <c r="M50" s="108">
        <f>393.18*15+2*(4204843.44*1.25)+5352.11*15</f>
        <v>10598287.950000001</v>
      </c>
      <c r="N50" s="110">
        <f>393.18*15+(4204843.44*1.25)+5352.11*15</f>
        <v>5342233.650000001</v>
      </c>
      <c r="O50" s="110">
        <f>393.18*150+2*(4204843.44*1.25)+5352.11*150</f>
        <v>11373902.100000001</v>
      </c>
      <c r="P50" s="110">
        <f>393.18*150+(4204843.44*1.25)+5352.11*150</f>
        <v>6117847.800000001</v>
      </c>
      <c r="Q50" s="110">
        <f>393.18*250+2*(4204843.44*1.25)+5352.11*250</f>
        <v>11948431.100000001</v>
      </c>
      <c r="R50" s="110">
        <f>393.18*250+(4204843.44*1.25)+5352.11*250</f>
        <v>6692376.800000001</v>
      </c>
      <c r="S50" s="110">
        <f>393.18*670+2*(4204843.44*1.25)+5352.11*670</f>
        <v>14361452.9</v>
      </c>
      <c r="T50" s="112">
        <f>393.18*670+(4204843.44*1.25)+5352.11*670</f>
        <v>9105398.6</v>
      </c>
    </row>
    <row r="51" spans="2:20" ht="13.5">
      <c r="B51" s="168"/>
      <c r="C51" s="169"/>
      <c r="D51" s="115" t="s">
        <v>58</v>
      </c>
      <c r="E51" s="108">
        <f>29249.94+2*(1049755.94*1.25)+5352.11*15</f>
        <v>2733921.4399999995</v>
      </c>
      <c r="F51" s="110">
        <f>29249.94+(1049755.94*1.25)+5352.11*15</f>
        <v>1421726.5149999997</v>
      </c>
      <c r="G51" s="110">
        <f>29249.94+2*(1049755.94*1.25)+5352.11*150</f>
        <v>3456456.2899999996</v>
      </c>
      <c r="H51" s="110">
        <f>29249.94+(1049755.94*1.25)+5352.11*150</f>
        <v>2144261.3649999998</v>
      </c>
      <c r="I51" s="110">
        <f>29249.94+2*(1049755.94*1.25)+5352.11*250</f>
        <v>3991667.2899999996</v>
      </c>
      <c r="J51" s="110">
        <f>29249.94+(1049755.94*1.25)+5352.11*250</f>
        <v>2679472.3649999998</v>
      </c>
      <c r="K51" s="110">
        <f>29249.94+2*(1049755.94*1.25)+5352.11*670</f>
        <v>6239553.489999999</v>
      </c>
      <c r="L51" s="112">
        <f>29249.94+(1049755.94*1.25)+5352.11*670</f>
        <v>4927358.5649999995</v>
      </c>
      <c r="M51" s="108">
        <f>393.18*15+2*(1049755.94*1.25)+5352.11*15</f>
        <v>2710569.1999999997</v>
      </c>
      <c r="N51" s="110">
        <f>393.18*15+(1049755.94*1.25)+5352.11*15</f>
        <v>1398374.2749999997</v>
      </c>
      <c r="O51" s="110">
        <f>393.18*150+2*(1049755.94*1.25)+5352.11*150</f>
        <v>3486183.3499999996</v>
      </c>
      <c r="P51" s="110">
        <f>393.18*150+(1049755.94*1.25)+5352.11*150</f>
        <v>2173988.425</v>
      </c>
      <c r="Q51" s="110">
        <f>393.18*250+2*(1049755.94*1.25)+5352.11*250</f>
        <v>4060712.3499999996</v>
      </c>
      <c r="R51" s="110">
        <f>393.18*250+(1049755.94*1.25)+5352.11*250</f>
        <v>2748517.425</v>
      </c>
      <c r="S51" s="110">
        <f>393.18*670+2*(1049755.94*1.25)+5352.11*670</f>
        <v>6473734.149999999</v>
      </c>
      <c r="T51" s="112">
        <f>393.18*670+(1049755.94*1.25)+5352.11*670</f>
        <v>5161539.225</v>
      </c>
    </row>
    <row r="52" spans="2:20" ht="13.5">
      <c r="B52" s="168"/>
      <c r="C52" s="169" t="s">
        <v>59</v>
      </c>
      <c r="D52" s="115" t="s">
        <v>57</v>
      </c>
      <c r="E52" s="108">
        <f>29249.94+2*(4204843.44*1.25)</f>
        <v>10541358.540000001</v>
      </c>
      <c r="F52" s="110">
        <f>29249.94+(4204843.44*1.25)</f>
        <v>5285304.240000001</v>
      </c>
      <c r="G52" s="110">
        <f>29249.94+2*(4204843.44*1.25)</f>
        <v>10541358.540000001</v>
      </c>
      <c r="H52" s="110">
        <f>29249.94+(4204843.44*1.25)</f>
        <v>5285304.240000001</v>
      </c>
      <c r="I52" s="110">
        <f>29249.94+2*(4204843.44*1.25)</f>
        <v>10541358.540000001</v>
      </c>
      <c r="J52" s="110">
        <f>29249.94+(4204843.44*1.25)</f>
        <v>5285304.240000001</v>
      </c>
      <c r="K52" s="110">
        <f>29249.94+2*(4204843.44*1.25)</f>
        <v>10541358.540000001</v>
      </c>
      <c r="L52" s="112">
        <f>29249.94+(4204843.44*1.25)</f>
        <v>5285304.240000001</v>
      </c>
      <c r="M52" s="108">
        <f>393.18*15+2*(4204843.44*1.25)</f>
        <v>10518006.3</v>
      </c>
      <c r="N52" s="110">
        <f>393.18*15+(4204843.44*1.25)</f>
        <v>5261952.000000001</v>
      </c>
      <c r="O52" s="110">
        <f>393.18*150+2*(4204843.44*1.25)</f>
        <v>10571085.600000001</v>
      </c>
      <c r="P52" s="110">
        <f>393.18*150+(4204843.44*1.25)</f>
        <v>5315031.300000001</v>
      </c>
      <c r="Q52" s="110">
        <f>393.18*250+2*(4204843.44*1.25)</f>
        <v>10610403.600000001</v>
      </c>
      <c r="R52" s="110">
        <f>393.18*250+(4204843.44*1.25)</f>
        <v>5354349.300000001</v>
      </c>
      <c r="S52" s="110">
        <f>393.18*670+2*(4204843.44*1.25)</f>
        <v>10775539.200000001</v>
      </c>
      <c r="T52" s="112">
        <f>393.18*670+(4204843.44*1.25)</f>
        <v>5519484.9</v>
      </c>
    </row>
    <row r="53" spans="2:20" ht="14.25" thickBot="1">
      <c r="B53" s="180"/>
      <c r="C53" s="181"/>
      <c r="D53" s="116" t="s">
        <v>58</v>
      </c>
      <c r="E53" s="109">
        <f>29249.94+2*(1049755.94*1.25)</f>
        <v>2653639.7899999996</v>
      </c>
      <c r="F53" s="111">
        <f>29249.94+(1049755.94*1.25)</f>
        <v>1341444.8649999998</v>
      </c>
      <c r="G53" s="111">
        <f>29249.94+2*(1049755.94*1.25)</f>
        <v>2653639.7899999996</v>
      </c>
      <c r="H53" s="111">
        <f>29249.94+(1049755.94*1.25)</f>
        <v>1341444.8649999998</v>
      </c>
      <c r="I53" s="111">
        <f>29249.94+2*(1049755.94*1.25)</f>
        <v>2653639.7899999996</v>
      </c>
      <c r="J53" s="111">
        <f>29249.94+(1049755.94*1.25)</f>
        <v>1341444.8649999998</v>
      </c>
      <c r="K53" s="111">
        <f>29249.94+2*(1049755.94*1.25)</f>
        <v>2653639.7899999996</v>
      </c>
      <c r="L53" s="113">
        <f>29249.94+(1049755.94*1.25)</f>
        <v>1341444.8649999998</v>
      </c>
      <c r="M53" s="109">
        <f>393.18*15+2*(1049755.94*1.25)</f>
        <v>2630287.55</v>
      </c>
      <c r="N53" s="111">
        <f>393.18*15+(1049755.94*1.25)</f>
        <v>1318092.6249999998</v>
      </c>
      <c r="O53" s="111">
        <f>393.18*150+2*(1049755.94*1.25)</f>
        <v>2683366.8499999996</v>
      </c>
      <c r="P53" s="111">
        <f>393.18*150+(1049755.94*1.25)</f>
        <v>1371171.9249999998</v>
      </c>
      <c r="Q53" s="111">
        <f>393.18*250+2*(1049755.94*1.25)</f>
        <v>2722684.8499999996</v>
      </c>
      <c r="R53" s="111">
        <f>393.18*250+(1049755.94*1.25)</f>
        <v>1410489.9249999998</v>
      </c>
      <c r="S53" s="111">
        <f>393.18*670+2*(1049755.94*1.25)</f>
        <v>2887820.4499999997</v>
      </c>
      <c r="T53" s="113">
        <f>393.18*670+(1049755.94*1.25)</f>
        <v>1575625.525</v>
      </c>
    </row>
    <row r="55" spans="2:20" ht="31.5" customHeight="1">
      <c r="B55" s="182" t="s">
        <v>261</v>
      </c>
      <c r="C55" s="182"/>
      <c r="D55" s="182"/>
      <c r="E55" s="182"/>
      <c r="F55" s="182"/>
      <c r="G55" s="182"/>
      <c r="H55" s="182"/>
      <c r="I55" s="182"/>
      <c r="J55" s="182"/>
      <c r="K55" s="182"/>
      <c r="L55" s="182"/>
      <c r="M55" s="182"/>
      <c r="N55" s="182"/>
      <c r="O55" s="182"/>
      <c r="P55" s="182"/>
      <c r="Q55" s="182"/>
      <c r="R55" s="182"/>
      <c r="S55" s="182"/>
      <c r="T55" s="182"/>
    </row>
  </sheetData>
  <sheetProtection/>
  <mergeCells count="69">
    <mergeCell ref="A29:T29"/>
    <mergeCell ref="B55:T55"/>
    <mergeCell ref="E38:E39"/>
    <mergeCell ref="E40:E41"/>
    <mergeCell ref="H34:H35"/>
    <mergeCell ref="H36:H37"/>
    <mergeCell ref="H38:H39"/>
    <mergeCell ref="H40:H41"/>
    <mergeCell ref="G34:G35"/>
    <mergeCell ref="G36:G37"/>
    <mergeCell ref="G38:G39"/>
    <mergeCell ref="G40:G41"/>
    <mergeCell ref="N40:N41"/>
    <mergeCell ref="B50:B53"/>
    <mergeCell ref="C50:C51"/>
    <mergeCell ref="C52:C53"/>
    <mergeCell ref="B38:B41"/>
    <mergeCell ref="B46:B49"/>
    <mergeCell ref="C48:C49"/>
    <mergeCell ref="C46:C47"/>
    <mergeCell ref="S30:T30"/>
    <mergeCell ref="M33:T33"/>
    <mergeCell ref="N34:N35"/>
    <mergeCell ref="N36:N37"/>
    <mergeCell ref="N38:N39"/>
    <mergeCell ref="R11:R13"/>
    <mergeCell ref="A28:R28"/>
    <mergeCell ref="F38:F39"/>
    <mergeCell ref="F34:F35"/>
    <mergeCell ref="E33:L33"/>
    <mergeCell ref="M30:N30"/>
    <mergeCell ref="O30:P30"/>
    <mergeCell ref="Q30:R30"/>
    <mergeCell ref="K30:L30"/>
    <mergeCell ref="B31:D31"/>
    <mergeCell ref="B30:D30"/>
    <mergeCell ref="E30:F30"/>
    <mergeCell ref="G30:H30"/>
    <mergeCell ref="I30:J30"/>
    <mergeCell ref="A8:R8"/>
    <mergeCell ref="A5:R5"/>
    <mergeCell ref="A6:R6"/>
    <mergeCell ref="C38:C39"/>
    <mergeCell ref="C40:C41"/>
    <mergeCell ref="B42:B45"/>
    <mergeCell ref="C42:C43"/>
    <mergeCell ref="C44:C45"/>
    <mergeCell ref="B34:B37"/>
    <mergeCell ref="C34:C35"/>
    <mergeCell ref="E34:E35"/>
    <mergeCell ref="E36:E37"/>
    <mergeCell ref="F36:F37"/>
    <mergeCell ref="F40:F41"/>
    <mergeCell ref="C11:Q11"/>
    <mergeCell ref="C12:E12"/>
    <mergeCell ref="F12:H12"/>
    <mergeCell ref="I12:K12"/>
    <mergeCell ref="C36:C37"/>
    <mergeCell ref="B33:D33"/>
    <mergeCell ref="A1:M1"/>
    <mergeCell ref="A2:M2"/>
    <mergeCell ref="A9:M9"/>
    <mergeCell ref="A11:A13"/>
    <mergeCell ref="B11:B13"/>
    <mergeCell ref="A7:R7"/>
    <mergeCell ref="L12:N12"/>
    <mergeCell ref="O12:Q12"/>
    <mergeCell ref="A3:R3"/>
    <mergeCell ref="A4:R4"/>
  </mergeCells>
  <printOptions/>
  <pageMargins left="0.7" right="0.7" top="0.75" bottom="0.75" header="0.3" footer="0.3"/>
  <pageSetup horizontalDpi="180" verticalDpi="180" orientation="landscape" paperSize="9" scale="34" r:id="rId1"/>
  <rowBreaks count="1" manualBreakCount="1">
    <brk id="55" max="17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O64"/>
  <sheetViews>
    <sheetView view="pageBreakPreview" zoomScaleSheetLayoutView="100" zoomScalePageLayoutView="0" workbookViewId="0" topLeftCell="A22">
      <selection activeCell="G27" sqref="G27"/>
    </sheetView>
  </sheetViews>
  <sheetFormatPr defaultColWidth="12.28125" defaultRowHeight="15"/>
  <cols>
    <col min="1" max="1" width="5.8515625" style="6" customWidth="1"/>
    <col min="2" max="2" width="27.00390625" style="5" customWidth="1"/>
    <col min="3" max="3" width="17.28125" style="5" customWidth="1"/>
    <col min="4" max="4" width="13.57421875" style="5" customWidth="1"/>
    <col min="5" max="5" width="16.140625" style="32" customWidth="1"/>
    <col min="6" max="6" width="9.421875" style="5" customWidth="1"/>
    <col min="7" max="7" width="17.00390625" style="5" customWidth="1"/>
    <col min="8" max="8" width="13.57421875" style="5" customWidth="1"/>
    <col min="9" max="9" width="10.00390625" style="5" customWidth="1"/>
    <col min="10" max="10" width="12.140625" style="5" customWidth="1"/>
    <col min="11" max="11" width="14.140625" style="5" customWidth="1"/>
    <col min="12" max="12" width="9.140625" style="5" customWidth="1"/>
    <col min="13" max="13" width="9.57421875" style="5" customWidth="1"/>
    <col min="14" max="14" width="10.7109375" style="5" customWidth="1"/>
    <col min="15" max="16384" width="12.28125" style="5" customWidth="1"/>
  </cols>
  <sheetData>
    <row r="1" spans="1:17" ht="13.5">
      <c r="A1" s="189" t="s">
        <v>223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</row>
    <row r="3" spans="1:17" ht="51" customHeight="1">
      <c r="A3" s="133" t="s">
        <v>130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</row>
    <row r="4" spans="1:17" s="4" customFormat="1" ht="13.5">
      <c r="A4" s="184" t="s">
        <v>132</v>
      </c>
      <c r="B4" s="183" t="s">
        <v>60</v>
      </c>
      <c r="C4" s="183" t="s">
        <v>61</v>
      </c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3"/>
      <c r="Q4" s="183"/>
    </row>
    <row r="5" spans="1:17" s="4" customFormat="1" ht="36" customHeight="1">
      <c r="A5" s="184"/>
      <c r="B5" s="183"/>
      <c r="C5" s="190" t="s">
        <v>62</v>
      </c>
      <c r="D5" s="190"/>
      <c r="E5" s="190"/>
      <c r="F5" s="190" t="s">
        <v>255</v>
      </c>
      <c r="G5" s="190"/>
      <c r="H5" s="190"/>
      <c r="I5" s="190" t="s">
        <v>63</v>
      </c>
      <c r="J5" s="190"/>
      <c r="K5" s="190"/>
      <c r="L5" s="190" t="s">
        <v>64</v>
      </c>
      <c r="M5" s="190"/>
      <c r="N5" s="190"/>
      <c r="O5" s="190" t="s">
        <v>65</v>
      </c>
      <c r="P5" s="190"/>
      <c r="Q5" s="190"/>
    </row>
    <row r="6" spans="1:17" s="4" customFormat="1" ht="51.75" customHeight="1">
      <c r="A6" s="184"/>
      <c r="B6" s="183"/>
      <c r="C6" s="88" t="s">
        <v>3</v>
      </c>
      <c r="D6" s="88" t="s">
        <v>131</v>
      </c>
      <c r="E6" s="67" t="s">
        <v>5</v>
      </c>
      <c r="F6" s="88" t="s">
        <v>3</v>
      </c>
      <c r="G6" s="88" t="s">
        <v>131</v>
      </c>
      <c r="H6" s="88" t="s">
        <v>5</v>
      </c>
      <c r="I6" s="88" t="s">
        <v>3</v>
      </c>
      <c r="J6" s="88" t="s">
        <v>131</v>
      </c>
      <c r="K6" s="88" t="s">
        <v>5</v>
      </c>
      <c r="L6" s="88" t="s">
        <v>3</v>
      </c>
      <c r="M6" s="88" t="s">
        <v>131</v>
      </c>
      <c r="N6" s="88" t="s">
        <v>5</v>
      </c>
      <c r="O6" s="88" t="s">
        <v>3</v>
      </c>
      <c r="P6" s="88" t="s">
        <v>131</v>
      </c>
      <c r="Q6" s="88" t="s">
        <v>5</v>
      </c>
    </row>
    <row r="7" spans="1:17" s="4" customFormat="1" ht="13.5">
      <c r="A7" s="89">
        <v>1</v>
      </c>
      <c r="B7" s="88">
        <v>2</v>
      </c>
      <c r="C7" s="88">
        <v>3</v>
      </c>
      <c r="D7" s="88">
        <v>4</v>
      </c>
      <c r="E7" s="68">
        <v>5</v>
      </c>
      <c r="F7" s="88">
        <v>6</v>
      </c>
      <c r="G7" s="88">
        <v>7</v>
      </c>
      <c r="H7" s="88">
        <v>8</v>
      </c>
      <c r="I7" s="88">
        <v>9</v>
      </c>
      <c r="J7" s="88">
        <v>10</v>
      </c>
      <c r="K7" s="88">
        <v>11</v>
      </c>
      <c r="L7" s="88">
        <v>12</v>
      </c>
      <c r="M7" s="88">
        <v>13</v>
      </c>
      <c r="N7" s="88">
        <v>14</v>
      </c>
      <c r="O7" s="88">
        <v>15</v>
      </c>
      <c r="P7" s="88">
        <v>16</v>
      </c>
      <c r="Q7" s="88">
        <v>17</v>
      </c>
    </row>
    <row r="8" spans="1:17" s="26" customFormat="1" ht="13.5">
      <c r="A8" s="21">
        <v>1</v>
      </c>
      <c r="B8" s="25" t="s">
        <v>238</v>
      </c>
      <c r="C8" s="23">
        <v>22</v>
      </c>
      <c r="D8" s="23">
        <f>SUM(D9:D14)</f>
        <v>265</v>
      </c>
      <c r="E8" s="104">
        <f>(D8-C8)/C8*100</f>
        <v>1104.5454545454545</v>
      </c>
      <c r="F8" s="23">
        <v>0</v>
      </c>
      <c r="G8" s="23">
        <v>0</v>
      </c>
      <c r="H8" s="23">
        <v>0</v>
      </c>
      <c r="I8" s="23">
        <v>0</v>
      </c>
      <c r="J8" s="23">
        <v>0</v>
      </c>
      <c r="K8" s="23">
        <v>0</v>
      </c>
      <c r="L8" s="23">
        <v>0</v>
      </c>
      <c r="M8" s="23">
        <v>0</v>
      </c>
      <c r="N8" s="23">
        <v>0</v>
      </c>
      <c r="O8" s="23">
        <v>0</v>
      </c>
      <c r="P8" s="23">
        <v>0</v>
      </c>
      <c r="Q8" s="23">
        <v>0</v>
      </c>
    </row>
    <row r="9" spans="1:17" ht="27">
      <c r="A9" s="91" t="s">
        <v>133</v>
      </c>
      <c r="B9" s="7" t="s">
        <v>66</v>
      </c>
      <c r="C9" s="118">
        <v>0</v>
      </c>
      <c r="D9" s="118">
        <v>0</v>
      </c>
      <c r="E9" s="27">
        <v>0</v>
      </c>
      <c r="F9" s="118">
        <v>0</v>
      </c>
      <c r="G9" s="118">
        <v>0</v>
      </c>
      <c r="H9" s="118">
        <v>0</v>
      </c>
      <c r="I9" s="118">
        <v>0</v>
      </c>
      <c r="J9" s="118">
        <v>0</v>
      </c>
      <c r="K9" s="118">
        <v>0</v>
      </c>
      <c r="L9" s="118">
        <v>0</v>
      </c>
      <c r="M9" s="118">
        <v>0</v>
      </c>
      <c r="N9" s="118">
        <v>0</v>
      </c>
      <c r="O9" s="118">
        <v>0</v>
      </c>
      <c r="P9" s="118">
        <v>0</v>
      </c>
      <c r="Q9" s="118">
        <v>0</v>
      </c>
    </row>
    <row r="10" spans="1:17" ht="41.25">
      <c r="A10" s="91" t="s">
        <v>134</v>
      </c>
      <c r="B10" s="7" t="s">
        <v>67</v>
      </c>
      <c r="C10" s="118">
        <v>100</v>
      </c>
      <c r="D10" s="118">
        <v>261</v>
      </c>
      <c r="E10" s="104">
        <f>(D10-C10)/C10*100</f>
        <v>161</v>
      </c>
      <c r="F10" s="118">
        <v>0</v>
      </c>
      <c r="G10" s="118">
        <v>0</v>
      </c>
      <c r="H10" s="118">
        <v>0</v>
      </c>
      <c r="I10" s="118">
        <v>0</v>
      </c>
      <c r="J10" s="118">
        <v>0</v>
      </c>
      <c r="K10" s="118">
        <v>0</v>
      </c>
      <c r="L10" s="118">
        <v>0</v>
      </c>
      <c r="M10" s="118">
        <v>0</v>
      </c>
      <c r="N10" s="118">
        <v>0</v>
      </c>
      <c r="O10" s="118">
        <v>0</v>
      </c>
      <c r="P10" s="118">
        <v>0</v>
      </c>
      <c r="Q10" s="118">
        <v>0</v>
      </c>
    </row>
    <row r="11" spans="1:17" ht="27">
      <c r="A11" s="91" t="s">
        <v>135</v>
      </c>
      <c r="B11" s="7" t="s">
        <v>68</v>
      </c>
      <c r="C11" s="118">
        <v>1</v>
      </c>
      <c r="D11" s="118">
        <v>4</v>
      </c>
      <c r="E11" s="27">
        <v>0</v>
      </c>
      <c r="F11" s="118">
        <v>0</v>
      </c>
      <c r="G11" s="118">
        <v>0</v>
      </c>
      <c r="H11" s="118">
        <v>0</v>
      </c>
      <c r="I11" s="118">
        <v>0</v>
      </c>
      <c r="J11" s="118">
        <v>0</v>
      </c>
      <c r="K11" s="118">
        <v>0</v>
      </c>
      <c r="L11" s="118">
        <v>0</v>
      </c>
      <c r="M11" s="118">
        <v>0</v>
      </c>
      <c r="N11" s="118">
        <v>0</v>
      </c>
      <c r="O11" s="118">
        <v>0</v>
      </c>
      <c r="P11" s="118">
        <v>0</v>
      </c>
      <c r="Q11" s="118">
        <v>0</v>
      </c>
    </row>
    <row r="12" spans="1:17" ht="13.5">
      <c r="A12" s="91" t="s">
        <v>136</v>
      </c>
      <c r="B12" s="7" t="s">
        <v>69</v>
      </c>
      <c r="C12" s="118">
        <v>0</v>
      </c>
      <c r="D12" s="118">
        <v>0</v>
      </c>
      <c r="E12" s="27">
        <v>0</v>
      </c>
      <c r="F12" s="118">
        <v>0</v>
      </c>
      <c r="G12" s="118">
        <v>0</v>
      </c>
      <c r="H12" s="118">
        <v>0</v>
      </c>
      <c r="I12" s="118">
        <v>0</v>
      </c>
      <c r="J12" s="118">
        <v>0</v>
      </c>
      <c r="K12" s="118">
        <v>0</v>
      </c>
      <c r="L12" s="118">
        <v>0</v>
      </c>
      <c r="M12" s="118">
        <v>0</v>
      </c>
      <c r="N12" s="118">
        <v>0</v>
      </c>
      <c r="O12" s="118">
        <v>0</v>
      </c>
      <c r="P12" s="118">
        <v>0</v>
      </c>
      <c r="Q12" s="118">
        <v>0</v>
      </c>
    </row>
    <row r="13" spans="1:17" ht="27">
      <c r="A13" s="91" t="s">
        <v>137</v>
      </c>
      <c r="B13" s="7" t="s">
        <v>70</v>
      </c>
      <c r="C13" s="118">
        <v>0</v>
      </c>
      <c r="D13" s="118">
        <v>0</v>
      </c>
      <c r="E13" s="27">
        <v>0</v>
      </c>
      <c r="F13" s="118">
        <v>0</v>
      </c>
      <c r="G13" s="118">
        <v>0</v>
      </c>
      <c r="H13" s="118">
        <v>0</v>
      </c>
      <c r="I13" s="118">
        <v>0</v>
      </c>
      <c r="J13" s="118">
        <v>0</v>
      </c>
      <c r="K13" s="118">
        <v>0</v>
      </c>
      <c r="L13" s="118">
        <v>0</v>
      </c>
      <c r="M13" s="118">
        <v>0</v>
      </c>
      <c r="N13" s="118">
        <v>0</v>
      </c>
      <c r="O13" s="118">
        <v>0</v>
      </c>
      <c r="P13" s="118">
        <v>0</v>
      </c>
      <c r="Q13" s="118">
        <v>0</v>
      </c>
    </row>
    <row r="14" spans="1:17" ht="13.5">
      <c r="A14" s="91" t="s">
        <v>138</v>
      </c>
      <c r="B14" s="7" t="s">
        <v>71</v>
      </c>
      <c r="C14" s="118">
        <v>0</v>
      </c>
      <c r="D14" s="118">
        <v>0</v>
      </c>
      <c r="E14" s="27">
        <v>0</v>
      </c>
      <c r="F14" s="118">
        <v>0</v>
      </c>
      <c r="G14" s="118">
        <v>0</v>
      </c>
      <c r="H14" s="118">
        <v>0</v>
      </c>
      <c r="I14" s="118">
        <v>0</v>
      </c>
      <c r="J14" s="118">
        <v>0</v>
      </c>
      <c r="K14" s="118">
        <v>0</v>
      </c>
      <c r="L14" s="118">
        <v>0</v>
      </c>
      <c r="M14" s="118">
        <v>0</v>
      </c>
      <c r="N14" s="118">
        <v>0</v>
      </c>
      <c r="O14" s="118">
        <v>0</v>
      </c>
      <c r="P14" s="118">
        <v>0</v>
      </c>
      <c r="Q14" s="118">
        <v>0</v>
      </c>
    </row>
    <row r="15" spans="1:17" s="24" customFormat="1" ht="17.25" customHeight="1">
      <c r="A15" s="21" t="s">
        <v>139</v>
      </c>
      <c r="B15" s="22" t="s">
        <v>239</v>
      </c>
      <c r="C15" s="23">
        <v>4</v>
      </c>
      <c r="D15" s="23">
        <f>SUM(D16:D23)</f>
        <v>2</v>
      </c>
      <c r="E15" s="104">
        <f>(D15-C15)/C15*100</f>
        <v>-50</v>
      </c>
      <c r="F15" s="23">
        <v>0</v>
      </c>
      <c r="G15" s="23">
        <v>0</v>
      </c>
      <c r="H15" s="23">
        <v>0</v>
      </c>
      <c r="I15" s="23">
        <v>0</v>
      </c>
      <c r="J15" s="23">
        <v>0</v>
      </c>
      <c r="K15" s="23">
        <f>SUM(K16:K23)</f>
        <v>0</v>
      </c>
      <c r="L15" s="23">
        <v>0</v>
      </c>
      <c r="M15" s="23">
        <v>0</v>
      </c>
      <c r="N15" s="23">
        <v>0</v>
      </c>
      <c r="O15" s="23">
        <v>0</v>
      </c>
      <c r="P15" s="23">
        <v>0</v>
      </c>
      <c r="Q15" s="23">
        <v>0</v>
      </c>
    </row>
    <row r="16" spans="1:17" ht="41.25">
      <c r="A16" s="91" t="s">
        <v>140</v>
      </c>
      <c r="B16" s="7" t="s">
        <v>72</v>
      </c>
      <c r="C16" s="118">
        <v>0</v>
      </c>
      <c r="D16" s="118">
        <v>0</v>
      </c>
      <c r="E16" s="27">
        <v>0</v>
      </c>
      <c r="F16" s="118">
        <v>0</v>
      </c>
      <c r="G16" s="118">
        <v>0</v>
      </c>
      <c r="H16" s="118">
        <v>0</v>
      </c>
      <c r="I16" s="118">
        <v>0</v>
      </c>
      <c r="J16" s="118">
        <v>0</v>
      </c>
      <c r="K16" s="118">
        <v>0</v>
      </c>
      <c r="L16" s="118">
        <v>0</v>
      </c>
      <c r="M16" s="118">
        <v>0</v>
      </c>
      <c r="N16" s="118">
        <v>0</v>
      </c>
      <c r="O16" s="118">
        <v>0</v>
      </c>
      <c r="P16" s="118">
        <v>0</v>
      </c>
      <c r="Q16" s="118">
        <v>0</v>
      </c>
    </row>
    <row r="17" spans="1:17" ht="27">
      <c r="A17" s="91" t="s">
        <v>141</v>
      </c>
      <c r="B17" s="7" t="s">
        <v>73</v>
      </c>
      <c r="C17" s="118">
        <v>4</v>
      </c>
      <c r="D17" s="118">
        <v>0</v>
      </c>
      <c r="E17" s="104">
        <f>(D17-C17)/C17*100</f>
        <v>-100</v>
      </c>
      <c r="F17" s="118">
        <v>0</v>
      </c>
      <c r="G17" s="118">
        <v>0</v>
      </c>
      <c r="H17" s="118">
        <v>0</v>
      </c>
      <c r="I17" s="118">
        <v>0</v>
      </c>
      <c r="J17" s="118">
        <v>0</v>
      </c>
      <c r="K17" s="118">
        <v>0</v>
      </c>
      <c r="L17" s="118">
        <v>0</v>
      </c>
      <c r="M17" s="118">
        <v>0</v>
      </c>
      <c r="N17" s="118">
        <v>0</v>
      </c>
      <c r="O17" s="118">
        <v>0</v>
      </c>
      <c r="P17" s="118">
        <v>0</v>
      </c>
      <c r="Q17" s="118">
        <v>0</v>
      </c>
    </row>
    <row r="18" spans="1:17" ht="27">
      <c r="A18" s="91" t="s">
        <v>142</v>
      </c>
      <c r="B18" s="7" t="s">
        <v>74</v>
      </c>
      <c r="C18" s="118">
        <v>0</v>
      </c>
      <c r="D18" s="118">
        <v>0</v>
      </c>
      <c r="E18" s="27">
        <v>0</v>
      </c>
      <c r="F18" s="118">
        <v>0</v>
      </c>
      <c r="G18" s="118">
        <v>0</v>
      </c>
      <c r="H18" s="118">
        <v>0</v>
      </c>
      <c r="I18" s="118">
        <v>0</v>
      </c>
      <c r="J18" s="118">
        <v>0</v>
      </c>
      <c r="K18" s="118">
        <v>0</v>
      </c>
      <c r="L18" s="118">
        <v>0</v>
      </c>
      <c r="M18" s="118">
        <v>0</v>
      </c>
      <c r="N18" s="118">
        <v>0</v>
      </c>
      <c r="O18" s="118">
        <v>0</v>
      </c>
      <c r="P18" s="118">
        <v>0</v>
      </c>
      <c r="Q18" s="118">
        <v>0</v>
      </c>
    </row>
    <row r="19" spans="1:17" ht="41.25">
      <c r="A19" s="91" t="s">
        <v>143</v>
      </c>
      <c r="B19" s="7" t="s">
        <v>67</v>
      </c>
      <c r="C19" s="118">
        <v>0</v>
      </c>
      <c r="D19" s="118">
        <v>2</v>
      </c>
      <c r="E19" s="104"/>
      <c r="F19" s="118">
        <v>0</v>
      </c>
      <c r="G19" s="118">
        <v>0</v>
      </c>
      <c r="H19" s="118">
        <v>0</v>
      </c>
      <c r="I19" s="118">
        <v>0</v>
      </c>
      <c r="J19" s="118">
        <v>0</v>
      </c>
      <c r="K19" s="118">
        <v>0</v>
      </c>
      <c r="L19" s="118">
        <v>0</v>
      </c>
      <c r="M19" s="118">
        <v>0</v>
      </c>
      <c r="N19" s="118">
        <v>0</v>
      </c>
      <c r="O19" s="118">
        <v>0</v>
      </c>
      <c r="P19" s="118">
        <v>0</v>
      </c>
      <c r="Q19" s="118">
        <v>0</v>
      </c>
    </row>
    <row r="20" spans="1:17" ht="27">
      <c r="A20" s="91" t="s">
        <v>144</v>
      </c>
      <c r="B20" s="7" t="s">
        <v>68</v>
      </c>
      <c r="C20" s="118">
        <v>0</v>
      </c>
      <c r="D20" s="118">
        <v>0</v>
      </c>
      <c r="E20" s="27">
        <v>0</v>
      </c>
      <c r="F20" s="118">
        <v>0</v>
      </c>
      <c r="G20" s="118">
        <v>0</v>
      </c>
      <c r="H20" s="118">
        <v>0</v>
      </c>
      <c r="I20" s="118">
        <v>0</v>
      </c>
      <c r="J20" s="118">
        <v>0</v>
      </c>
      <c r="K20" s="118">
        <v>0</v>
      </c>
      <c r="L20" s="118">
        <v>0</v>
      </c>
      <c r="M20" s="118">
        <v>0</v>
      </c>
      <c r="N20" s="118">
        <v>0</v>
      </c>
      <c r="O20" s="118">
        <v>0</v>
      </c>
      <c r="P20" s="118">
        <v>0</v>
      </c>
      <c r="Q20" s="118">
        <v>0</v>
      </c>
    </row>
    <row r="21" spans="1:17" ht="13.5">
      <c r="A21" s="91" t="s">
        <v>145</v>
      </c>
      <c r="B21" s="7" t="s">
        <v>69</v>
      </c>
      <c r="C21" s="118">
        <v>0</v>
      </c>
      <c r="D21" s="118">
        <v>0</v>
      </c>
      <c r="E21" s="27">
        <v>0</v>
      </c>
      <c r="F21" s="118">
        <v>0</v>
      </c>
      <c r="G21" s="118">
        <v>0</v>
      </c>
      <c r="H21" s="118">
        <v>0</v>
      </c>
      <c r="I21" s="118">
        <v>0</v>
      </c>
      <c r="J21" s="118">
        <v>0</v>
      </c>
      <c r="K21" s="118">
        <v>0</v>
      </c>
      <c r="L21" s="118">
        <v>0</v>
      </c>
      <c r="M21" s="118">
        <v>0</v>
      </c>
      <c r="N21" s="118">
        <v>0</v>
      </c>
      <c r="O21" s="118">
        <v>0</v>
      </c>
      <c r="P21" s="118">
        <v>0</v>
      </c>
      <c r="Q21" s="118">
        <v>0</v>
      </c>
    </row>
    <row r="22" spans="1:17" ht="41.25">
      <c r="A22" s="91" t="s">
        <v>146</v>
      </c>
      <c r="B22" s="7" t="s">
        <v>75</v>
      </c>
      <c r="C22" s="118">
        <v>0</v>
      </c>
      <c r="D22" s="118">
        <v>0</v>
      </c>
      <c r="E22" s="27">
        <v>0</v>
      </c>
      <c r="F22" s="118">
        <v>0</v>
      </c>
      <c r="G22" s="118">
        <v>0</v>
      </c>
      <c r="H22" s="118">
        <v>0</v>
      </c>
      <c r="I22" s="118">
        <v>0</v>
      </c>
      <c r="J22" s="118">
        <v>0</v>
      </c>
      <c r="K22" s="118">
        <v>0</v>
      </c>
      <c r="L22" s="118">
        <v>0</v>
      </c>
      <c r="M22" s="118">
        <v>0</v>
      </c>
      <c r="N22" s="118">
        <v>0</v>
      </c>
      <c r="O22" s="118">
        <v>0</v>
      </c>
      <c r="P22" s="118">
        <v>0</v>
      </c>
      <c r="Q22" s="118">
        <v>0</v>
      </c>
    </row>
    <row r="23" spans="1:17" ht="13.5">
      <c r="A23" s="91" t="s">
        <v>147</v>
      </c>
      <c r="B23" s="7" t="s">
        <v>71</v>
      </c>
      <c r="C23" s="118">
        <v>0</v>
      </c>
      <c r="D23" s="118">
        <v>0</v>
      </c>
      <c r="E23" s="27">
        <v>0</v>
      </c>
      <c r="F23" s="118">
        <v>0</v>
      </c>
      <c r="G23" s="118">
        <v>0</v>
      </c>
      <c r="H23" s="118">
        <v>0</v>
      </c>
      <c r="I23" s="118">
        <v>0</v>
      </c>
      <c r="J23" s="118">
        <v>0</v>
      </c>
      <c r="K23" s="118">
        <v>0</v>
      </c>
      <c r="L23" s="118">
        <v>0</v>
      </c>
      <c r="M23" s="118">
        <v>0</v>
      </c>
      <c r="N23" s="118">
        <v>0</v>
      </c>
      <c r="O23" s="118">
        <v>0</v>
      </c>
      <c r="P23" s="118">
        <v>0</v>
      </c>
      <c r="Q23" s="118">
        <v>0</v>
      </c>
    </row>
    <row r="24" spans="1:17" s="24" customFormat="1" ht="21" customHeight="1">
      <c r="A24" s="21" t="s">
        <v>148</v>
      </c>
      <c r="B24" s="22" t="s">
        <v>237</v>
      </c>
      <c r="C24" s="23">
        <v>139</v>
      </c>
      <c r="D24" s="23">
        <f>SUM(D25:D28)</f>
        <v>64</v>
      </c>
      <c r="E24" s="104">
        <f>(D24-C24)/C24*100</f>
        <v>-53.956834532374096</v>
      </c>
      <c r="F24" s="23">
        <v>0</v>
      </c>
      <c r="G24" s="23">
        <v>0</v>
      </c>
      <c r="H24" s="23">
        <v>0</v>
      </c>
      <c r="I24" s="23">
        <v>0</v>
      </c>
      <c r="J24" s="23">
        <v>0</v>
      </c>
      <c r="K24" s="23">
        <v>0</v>
      </c>
      <c r="L24" s="23">
        <v>0</v>
      </c>
      <c r="M24" s="23">
        <v>0</v>
      </c>
      <c r="N24" s="23">
        <v>0</v>
      </c>
      <c r="O24" s="23">
        <v>0</v>
      </c>
      <c r="P24" s="23">
        <v>0</v>
      </c>
      <c r="Q24" s="23">
        <v>0</v>
      </c>
    </row>
    <row r="25" spans="1:17" ht="27">
      <c r="A25" s="91" t="s">
        <v>149</v>
      </c>
      <c r="B25" s="7" t="s">
        <v>26</v>
      </c>
      <c r="C25" s="118">
        <v>87</v>
      </c>
      <c r="D25" s="118">
        <v>38</v>
      </c>
      <c r="E25" s="104">
        <f>(D25-C25)/C25*100</f>
        <v>-56.32183908045977</v>
      </c>
      <c r="F25" s="118">
        <v>0</v>
      </c>
      <c r="G25" s="118">
        <v>0</v>
      </c>
      <c r="H25" s="118">
        <v>0</v>
      </c>
      <c r="I25" s="118">
        <v>0</v>
      </c>
      <c r="J25" s="118">
        <v>0</v>
      </c>
      <c r="K25" s="118">
        <v>0</v>
      </c>
      <c r="L25" s="118">
        <v>0</v>
      </c>
      <c r="M25" s="118">
        <v>0</v>
      </c>
      <c r="N25" s="118">
        <v>0</v>
      </c>
      <c r="O25" s="118">
        <v>0</v>
      </c>
      <c r="P25" s="118">
        <v>0</v>
      </c>
      <c r="Q25" s="118">
        <v>0</v>
      </c>
    </row>
    <row r="26" spans="1:17" ht="41.25">
      <c r="A26" s="91" t="s">
        <v>150</v>
      </c>
      <c r="B26" s="7" t="s">
        <v>76</v>
      </c>
      <c r="C26" s="118">
        <v>0</v>
      </c>
      <c r="D26" s="118">
        <v>0</v>
      </c>
      <c r="E26" s="27">
        <v>0</v>
      </c>
      <c r="F26" s="118">
        <v>0</v>
      </c>
      <c r="G26" s="118">
        <v>0</v>
      </c>
      <c r="H26" s="118">
        <v>0</v>
      </c>
      <c r="I26" s="118">
        <v>0</v>
      </c>
      <c r="J26" s="118">
        <v>0</v>
      </c>
      <c r="K26" s="118">
        <v>0</v>
      </c>
      <c r="L26" s="118">
        <v>0</v>
      </c>
      <c r="M26" s="118">
        <v>0</v>
      </c>
      <c r="N26" s="118">
        <v>0</v>
      </c>
      <c r="O26" s="118">
        <v>0</v>
      </c>
      <c r="P26" s="118">
        <v>0</v>
      </c>
      <c r="Q26" s="118">
        <v>0</v>
      </c>
    </row>
    <row r="27" spans="1:17" ht="27">
      <c r="A27" s="91" t="s">
        <v>151</v>
      </c>
      <c r="B27" s="7" t="s">
        <v>77</v>
      </c>
      <c r="C27" s="118">
        <v>62</v>
      </c>
      <c r="D27" s="196">
        <v>26</v>
      </c>
      <c r="E27" s="104">
        <f>(D27-C27)/C27*100</f>
        <v>-58.06451612903226</v>
      </c>
      <c r="F27" s="118">
        <v>0</v>
      </c>
      <c r="G27" s="118">
        <v>0</v>
      </c>
      <c r="H27" s="118">
        <v>0</v>
      </c>
      <c r="I27" s="118">
        <v>0</v>
      </c>
      <c r="J27" s="118">
        <v>0</v>
      </c>
      <c r="K27" s="118">
        <v>0</v>
      </c>
      <c r="L27" s="118">
        <v>0</v>
      </c>
      <c r="M27" s="118">
        <v>0</v>
      </c>
      <c r="N27" s="118">
        <v>0</v>
      </c>
      <c r="O27" s="118">
        <v>0</v>
      </c>
      <c r="P27" s="118">
        <v>0</v>
      </c>
      <c r="Q27" s="118">
        <v>0</v>
      </c>
    </row>
    <row r="28" spans="1:17" ht="13.5">
      <c r="A28" s="91" t="s">
        <v>152</v>
      </c>
      <c r="B28" s="7" t="s">
        <v>71</v>
      </c>
      <c r="C28" s="118">
        <v>0</v>
      </c>
      <c r="D28" s="118">
        <v>0</v>
      </c>
      <c r="E28" s="27">
        <v>0</v>
      </c>
      <c r="F28" s="118">
        <v>0</v>
      </c>
      <c r="G28" s="118">
        <v>0</v>
      </c>
      <c r="H28" s="118">
        <v>0</v>
      </c>
      <c r="I28" s="118">
        <v>0</v>
      </c>
      <c r="J28" s="118">
        <v>0</v>
      </c>
      <c r="K28" s="118">
        <v>0</v>
      </c>
      <c r="L28" s="118">
        <v>0</v>
      </c>
      <c r="M28" s="118">
        <v>0</v>
      </c>
      <c r="N28" s="118">
        <v>0</v>
      </c>
      <c r="O28" s="118">
        <v>0</v>
      </c>
      <c r="P28" s="118">
        <v>0</v>
      </c>
      <c r="Q28" s="118">
        <v>0</v>
      </c>
    </row>
    <row r="30" spans="1:17" ht="13.5">
      <c r="A30" s="133" t="s">
        <v>78</v>
      </c>
      <c r="B30" s="133"/>
      <c r="C30" s="133"/>
      <c r="D30" s="133"/>
      <c r="E30" s="133"/>
      <c r="F30" s="133"/>
      <c r="G30" s="133"/>
      <c r="H30" s="133"/>
      <c r="I30" s="133"/>
      <c r="J30" s="133"/>
      <c r="K30" s="133"/>
      <c r="L30" s="133"/>
      <c r="M30" s="133"/>
      <c r="N30" s="133"/>
      <c r="O30" s="133"/>
      <c r="P30" s="133"/>
      <c r="Q30" s="133"/>
    </row>
    <row r="31" spans="1:11" s="4" customFormat="1" ht="159" customHeight="1">
      <c r="A31" s="89" t="s">
        <v>132</v>
      </c>
      <c r="B31" s="88" t="s">
        <v>79</v>
      </c>
      <c r="C31" s="88" t="s">
        <v>80</v>
      </c>
      <c r="D31" s="88" t="s">
        <v>81</v>
      </c>
      <c r="E31" s="67" t="s">
        <v>82</v>
      </c>
      <c r="F31" s="88" t="s">
        <v>83</v>
      </c>
      <c r="G31" s="88" t="s">
        <v>84</v>
      </c>
      <c r="H31" s="88" t="s">
        <v>85</v>
      </c>
      <c r="I31" s="88" t="s">
        <v>86</v>
      </c>
      <c r="J31" s="88" t="s">
        <v>87</v>
      </c>
      <c r="K31" s="88" t="s">
        <v>88</v>
      </c>
    </row>
    <row r="32" spans="1:11" ht="13.5">
      <c r="A32" s="88">
        <v>1</v>
      </c>
      <c r="B32" s="88">
        <v>2</v>
      </c>
      <c r="C32" s="88">
        <v>3</v>
      </c>
      <c r="D32" s="88">
        <v>4</v>
      </c>
      <c r="E32" s="67">
        <v>5</v>
      </c>
      <c r="F32" s="88">
        <v>6</v>
      </c>
      <c r="G32" s="88">
        <v>7</v>
      </c>
      <c r="H32" s="88">
        <v>8</v>
      </c>
      <c r="I32" s="88">
        <v>9</v>
      </c>
      <c r="J32" s="88">
        <v>10</v>
      </c>
      <c r="K32" s="88">
        <v>11</v>
      </c>
    </row>
    <row r="33" spans="1:11" ht="98.25" customHeight="1">
      <c r="A33" s="91" t="s">
        <v>154</v>
      </c>
      <c r="B33" s="185" t="s">
        <v>156</v>
      </c>
      <c r="C33" s="7" t="s">
        <v>199</v>
      </c>
      <c r="D33" s="7" t="s">
        <v>253</v>
      </c>
      <c r="E33" s="69" t="s">
        <v>257</v>
      </c>
      <c r="F33" s="90" t="s">
        <v>254</v>
      </c>
      <c r="G33" s="185" t="s">
        <v>116</v>
      </c>
      <c r="H33" s="90" t="s">
        <v>153</v>
      </c>
      <c r="I33" s="90" t="s">
        <v>153</v>
      </c>
      <c r="J33" s="90" t="s">
        <v>153</v>
      </c>
      <c r="K33" s="90" t="s">
        <v>153</v>
      </c>
    </row>
    <row r="34" spans="1:11" ht="183.75" customHeight="1">
      <c r="A34" s="91" t="s">
        <v>139</v>
      </c>
      <c r="B34" s="186"/>
      <c r="C34" s="7" t="s">
        <v>200</v>
      </c>
      <c r="D34" s="187" t="s">
        <v>201</v>
      </c>
      <c r="E34" s="188"/>
      <c r="F34" s="90" t="s">
        <v>117</v>
      </c>
      <c r="G34" s="186"/>
      <c r="H34" s="90" t="s">
        <v>153</v>
      </c>
      <c r="I34" s="90" t="s">
        <v>153</v>
      </c>
      <c r="J34" s="90" t="s">
        <v>153</v>
      </c>
      <c r="K34" s="90" t="s">
        <v>153</v>
      </c>
    </row>
    <row r="36" spans="1:17" ht="13.5">
      <c r="A36" s="133" t="s">
        <v>157</v>
      </c>
      <c r="B36" s="133"/>
      <c r="C36" s="133"/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</row>
    <row r="38" spans="1:4" ht="13.5">
      <c r="A38" s="91" t="s">
        <v>132</v>
      </c>
      <c r="B38" s="90" t="s">
        <v>89</v>
      </c>
      <c r="C38" s="7"/>
      <c r="D38" s="7"/>
    </row>
    <row r="39" spans="1:4" ht="110.25">
      <c r="A39" s="91" t="s">
        <v>154</v>
      </c>
      <c r="B39" s="7" t="s">
        <v>158</v>
      </c>
      <c r="C39" s="7" t="s">
        <v>90</v>
      </c>
      <c r="D39" s="90" t="s">
        <v>256</v>
      </c>
    </row>
    <row r="40" spans="1:4" ht="54.75">
      <c r="A40" s="91" t="s">
        <v>139</v>
      </c>
      <c r="B40" s="7" t="s">
        <v>159</v>
      </c>
      <c r="C40" s="7" t="s">
        <v>91</v>
      </c>
      <c r="D40" s="90" t="s">
        <v>153</v>
      </c>
    </row>
    <row r="41" spans="1:4" ht="54.75">
      <c r="A41" s="91" t="s">
        <v>140</v>
      </c>
      <c r="B41" s="7" t="s">
        <v>92</v>
      </c>
      <c r="C41" s="7" t="s">
        <v>91</v>
      </c>
      <c r="D41" s="90" t="s">
        <v>153</v>
      </c>
    </row>
    <row r="42" spans="1:4" ht="69">
      <c r="A42" s="91" t="s">
        <v>143</v>
      </c>
      <c r="B42" s="7" t="s">
        <v>93</v>
      </c>
      <c r="C42" s="7" t="s">
        <v>91</v>
      </c>
      <c r="D42" s="90" t="s">
        <v>153</v>
      </c>
    </row>
    <row r="43" spans="1:4" ht="82.5">
      <c r="A43" s="91" t="s">
        <v>148</v>
      </c>
      <c r="B43" s="7" t="s">
        <v>94</v>
      </c>
      <c r="C43" s="7" t="s">
        <v>160</v>
      </c>
      <c r="D43" s="90" t="s">
        <v>153</v>
      </c>
    </row>
    <row r="44" spans="1:4" ht="69">
      <c r="A44" s="91" t="s">
        <v>155</v>
      </c>
      <c r="B44" s="7" t="s">
        <v>95</v>
      </c>
      <c r="C44" s="7" t="s">
        <v>160</v>
      </c>
      <c r="D44" s="90" t="s">
        <v>153</v>
      </c>
    </row>
    <row r="46" spans="1:17" s="85" customFormat="1" ht="36.75" customHeight="1">
      <c r="A46" s="179" t="s">
        <v>161</v>
      </c>
      <c r="B46" s="179"/>
      <c r="C46" s="179"/>
      <c r="D46" s="179"/>
      <c r="E46" s="179"/>
      <c r="F46" s="179"/>
      <c r="G46" s="179"/>
      <c r="H46" s="179"/>
      <c r="I46" s="179"/>
      <c r="J46" s="179"/>
      <c r="K46" s="179"/>
      <c r="L46" s="179"/>
      <c r="M46" s="179"/>
      <c r="N46" s="179"/>
      <c r="O46" s="179"/>
      <c r="P46" s="87"/>
      <c r="Q46" s="87"/>
    </row>
    <row r="47" spans="1:17" ht="15" customHeight="1">
      <c r="A47" s="179" t="s">
        <v>162</v>
      </c>
      <c r="B47" s="179"/>
      <c r="C47" s="179"/>
      <c r="D47" s="179"/>
      <c r="E47" s="179"/>
      <c r="F47" s="179"/>
      <c r="G47" s="179"/>
      <c r="H47" s="179"/>
      <c r="I47" s="179"/>
      <c r="J47" s="179"/>
      <c r="K47" s="19"/>
      <c r="L47" s="19"/>
      <c r="M47" s="19"/>
      <c r="N47" s="19"/>
      <c r="O47" s="19"/>
      <c r="P47" s="19"/>
      <c r="Q47" s="19"/>
    </row>
    <row r="48" spans="1:17" ht="13.5">
      <c r="A48" s="20"/>
      <c r="B48" s="19"/>
      <c r="C48" s="19"/>
      <c r="D48" s="19"/>
      <c r="E48" s="33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</row>
    <row r="49" spans="1:17" ht="19.5" customHeight="1">
      <c r="A49" s="179" t="s">
        <v>236</v>
      </c>
      <c r="B49" s="179"/>
      <c r="C49" s="179"/>
      <c r="D49" s="179"/>
      <c r="E49" s="179"/>
      <c r="F49" s="179"/>
      <c r="G49" s="179"/>
      <c r="H49" s="179"/>
      <c r="I49" s="179"/>
      <c r="J49" s="179"/>
      <c r="K49" s="179"/>
      <c r="L49" s="179"/>
      <c r="M49" s="179"/>
      <c r="N49" s="179"/>
      <c r="O49" s="179"/>
      <c r="P49" s="19"/>
      <c r="Q49" s="19"/>
    </row>
    <row r="50" spans="1:17" ht="34.5" customHeight="1">
      <c r="A50" s="179" t="s">
        <v>235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9"/>
      <c r="Q50" s="19"/>
    </row>
    <row r="51" spans="1:17" ht="13.5">
      <c r="A51" s="192" t="s">
        <v>163</v>
      </c>
      <c r="B51" s="192"/>
      <c r="C51" s="192"/>
      <c r="D51" s="192"/>
      <c r="E51" s="192"/>
      <c r="F51" s="192"/>
      <c r="G51" s="192"/>
      <c r="H51" s="192"/>
      <c r="I51" s="192"/>
      <c r="J51" s="192"/>
      <c r="K51" s="192"/>
      <c r="L51" s="192"/>
      <c r="M51" s="192"/>
      <c r="N51" s="192"/>
      <c r="O51" s="192"/>
      <c r="P51" s="19"/>
      <c r="Q51" s="19"/>
    </row>
    <row r="52" spans="1:17" ht="13.5">
      <c r="A52" s="20"/>
      <c r="B52" s="19"/>
      <c r="C52" s="19"/>
      <c r="D52" s="19"/>
      <c r="E52" s="33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</row>
    <row r="53" spans="1:17" ht="36" customHeight="1">
      <c r="A53" s="191" t="s">
        <v>164</v>
      </c>
      <c r="B53" s="179"/>
      <c r="C53" s="179"/>
      <c r="D53" s="179"/>
      <c r="E53" s="179"/>
      <c r="F53" s="179"/>
      <c r="G53" s="179"/>
      <c r="H53" s="179"/>
      <c r="I53" s="179"/>
      <c r="J53" s="179"/>
      <c r="K53" s="179"/>
      <c r="L53" s="179"/>
      <c r="M53" s="179"/>
      <c r="N53" s="179"/>
      <c r="O53" s="179"/>
      <c r="P53" s="19"/>
      <c r="Q53" s="19"/>
    </row>
    <row r="54" spans="1:17" ht="13.5">
      <c r="A54" s="193" t="s">
        <v>165</v>
      </c>
      <c r="B54" s="192"/>
      <c r="C54" s="192"/>
      <c r="D54" s="192"/>
      <c r="E54" s="192"/>
      <c r="F54" s="192"/>
      <c r="G54" s="192"/>
      <c r="H54" s="192"/>
      <c r="I54" s="192"/>
      <c r="J54" s="192"/>
      <c r="K54" s="192"/>
      <c r="L54" s="192"/>
      <c r="M54" s="192"/>
      <c r="N54" s="192"/>
      <c r="O54" s="192"/>
      <c r="P54" s="19"/>
      <c r="Q54" s="19"/>
    </row>
    <row r="55" spans="1:17" ht="13.5">
      <c r="A55" s="20"/>
      <c r="B55" s="19"/>
      <c r="C55" s="19"/>
      <c r="D55" s="19"/>
      <c r="E55" s="33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</row>
    <row r="56" spans="1:17" ht="13.5">
      <c r="A56" s="191" t="s">
        <v>166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79"/>
      <c r="N56" s="179"/>
      <c r="O56" s="179"/>
      <c r="P56" s="19"/>
      <c r="Q56" s="19"/>
    </row>
    <row r="57" spans="1:17" ht="13.5">
      <c r="A57" s="192" t="s">
        <v>167</v>
      </c>
      <c r="B57" s="192"/>
      <c r="C57" s="192"/>
      <c r="D57" s="192"/>
      <c r="E57" s="192"/>
      <c r="F57" s="192"/>
      <c r="G57" s="192"/>
      <c r="H57" s="192"/>
      <c r="I57" s="192"/>
      <c r="J57" s="192"/>
      <c r="K57" s="192"/>
      <c r="L57" s="192"/>
      <c r="M57" s="192"/>
      <c r="N57" s="192"/>
      <c r="O57" s="192"/>
      <c r="P57" s="19"/>
      <c r="Q57" s="19"/>
    </row>
    <row r="58" spans="1:17" ht="13.5">
      <c r="A58" s="192" t="s">
        <v>168</v>
      </c>
      <c r="B58" s="192"/>
      <c r="C58" s="192"/>
      <c r="D58" s="192"/>
      <c r="E58" s="192"/>
      <c r="F58" s="192"/>
      <c r="G58" s="192"/>
      <c r="H58" s="192"/>
      <c r="I58" s="192"/>
      <c r="J58" s="192"/>
      <c r="K58" s="192"/>
      <c r="L58" s="192"/>
      <c r="M58" s="192"/>
      <c r="N58" s="192"/>
      <c r="O58" s="192"/>
      <c r="P58" s="19"/>
      <c r="Q58" s="19"/>
    </row>
    <row r="59" spans="1:17" ht="13.5">
      <c r="A59" s="20"/>
      <c r="B59" s="19"/>
      <c r="C59" s="19"/>
      <c r="D59" s="19"/>
      <c r="E59" s="33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</row>
    <row r="60" spans="1:17" ht="13.5">
      <c r="A60" s="179" t="s">
        <v>169</v>
      </c>
      <c r="B60" s="179"/>
      <c r="C60" s="179"/>
      <c r="D60" s="179"/>
      <c r="E60" s="179"/>
      <c r="F60" s="179"/>
      <c r="G60" s="179"/>
      <c r="H60" s="179"/>
      <c r="I60" s="179"/>
      <c r="J60" s="179"/>
      <c r="K60" s="179"/>
      <c r="L60" s="179"/>
      <c r="M60" s="179"/>
      <c r="N60" s="179"/>
      <c r="O60" s="179"/>
      <c r="P60" s="179"/>
      <c r="Q60" s="179"/>
    </row>
    <row r="61" spans="1:30" s="4" customFormat="1" ht="39.75" customHeight="1">
      <c r="A61" s="195" t="s">
        <v>132</v>
      </c>
      <c r="B61" s="194" t="s">
        <v>170</v>
      </c>
      <c r="C61" s="194" t="s">
        <v>171</v>
      </c>
      <c r="D61" s="194" t="s">
        <v>172</v>
      </c>
      <c r="E61" s="194" t="s">
        <v>173</v>
      </c>
      <c r="F61" s="194"/>
      <c r="G61" s="194"/>
      <c r="H61" s="194"/>
      <c r="I61" s="194" t="s">
        <v>178</v>
      </c>
      <c r="J61" s="194"/>
      <c r="K61" s="194"/>
      <c r="L61" s="194"/>
      <c r="M61" s="194"/>
      <c r="N61" s="194"/>
      <c r="O61" s="194" t="s">
        <v>184</v>
      </c>
      <c r="P61" s="194"/>
      <c r="Q61" s="194"/>
      <c r="R61" s="194"/>
      <c r="S61" s="194"/>
      <c r="T61" s="194"/>
      <c r="U61" s="194"/>
      <c r="V61" s="194" t="s">
        <v>188</v>
      </c>
      <c r="W61" s="194"/>
      <c r="X61" s="194"/>
      <c r="Y61" s="194"/>
      <c r="Z61" s="194" t="s">
        <v>192</v>
      </c>
      <c r="AA61" s="194"/>
      <c r="AB61" s="194"/>
      <c r="AC61" s="194" t="s">
        <v>196</v>
      </c>
      <c r="AD61" s="194"/>
    </row>
    <row r="62" spans="1:41" s="4" customFormat="1" ht="211.5" customHeight="1">
      <c r="A62" s="195"/>
      <c r="B62" s="194"/>
      <c r="C62" s="194"/>
      <c r="D62" s="194"/>
      <c r="E62" s="34" t="s">
        <v>174</v>
      </c>
      <c r="F62" s="8" t="s">
        <v>175</v>
      </c>
      <c r="G62" s="8" t="s">
        <v>176</v>
      </c>
      <c r="H62" s="8" t="s">
        <v>177</v>
      </c>
      <c r="I62" s="8" t="s">
        <v>179</v>
      </c>
      <c r="J62" s="8" t="s">
        <v>180</v>
      </c>
      <c r="K62" s="8" t="s">
        <v>181</v>
      </c>
      <c r="L62" s="8" t="s">
        <v>182</v>
      </c>
      <c r="M62" s="8" t="s">
        <v>183</v>
      </c>
      <c r="N62" s="8" t="s">
        <v>65</v>
      </c>
      <c r="O62" s="8" t="s">
        <v>185</v>
      </c>
      <c r="P62" s="8" t="s">
        <v>186</v>
      </c>
      <c r="Q62" s="8" t="s">
        <v>187</v>
      </c>
      <c r="R62" s="8" t="s">
        <v>181</v>
      </c>
      <c r="S62" s="8" t="s">
        <v>182</v>
      </c>
      <c r="T62" s="8" t="s">
        <v>183</v>
      </c>
      <c r="U62" s="8" t="s">
        <v>65</v>
      </c>
      <c r="V62" s="8" t="s">
        <v>189</v>
      </c>
      <c r="W62" s="8" t="s">
        <v>190</v>
      </c>
      <c r="X62" s="8" t="s">
        <v>191</v>
      </c>
      <c r="Y62" s="8" t="s">
        <v>65</v>
      </c>
      <c r="Z62" s="8" t="s">
        <v>193</v>
      </c>
      <c r="AA62" s="8" t="s">
        <v>194</v>
      </c>
      <c r="AB62" s="8" t="s">
        <v>195</v>
      </c>
      <c r="AC62" s="8" t="s">
        <v>197</v>
      </c>
      <c r="AD62" s="8" t="s">
        <v>198</v>
      </c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</row>
    <row r="63" spans="1:30" ht="13.5">
      <c r="A63" s="90">
        <v>1</v>
      </c>
      <c r="B63" s="90">
        <v>2</v>
      </c>
      <c r="C63" s="90">
        <v>3</v>
      </c>
      <c r="D63" s="90">
        <v>4</v>
      </c>
      <c r="E63" s="35">
        <v>5</v>
      </c>
      <c r="F63" s="90">
        <v>6</v>
      </c>
      <c r="G63" s="90">
        <v>7</v>
      </c>
      <c r="H63" s="90">
        <v>8</v>
      </c>
      <c r="I63" s="90">
        <v>9</v>
      </c>
      <c r="J63" s="90">
        <v>10</v>
      </c>
      <c r="K63" s="90">
        <v>11</v>
      </c>
      <c r="L63" s="90">
        <v>12</v>
      </c>
      <c r="M63" s="90">
        <v>13</v>
      </c>
      <c r="N63" s="90">
        <v>14</v>
      </c>
      <c r="O63" s="90">
        <v>15</v>
      </c>
      <c r="P63" s="90">
        <v>16</v>
      </c>
      <c r="Q63" s="90">
        <v>17</v>
      </c>
      <c r="R63" s="90">
        <v>18</v>
      </c>
      <c r="S63" s="90">
        <v>19</v>
      </c>
      <c r="T63" s="90">
        <v>20</v>
      </c>
      <c r="U63" s="90">
        <v>21</v>
      </c>
      <c r="V63" s="90">
        <v>22</v>
      </c>
      <c r="W63" s="90">
        <v>23</v>
      </c>
      <c r="X63" s="90">
        <v>24</v>
      </c>
      <c r="Y63" s="90">
        <v>25</v>
      </c>
      <c r="Z63" s="90">
        <v>26</v>
      </c>
      <c r="AA63" s="90">
        <v>27</v>
      </c>
      <c r="AB63" s="90">
        <v>28</v>
      </c>
      <c r="AC63" s="90">
        <v>29</v>
      </c>
      <c r="AD63" s="90">
        <v>30</v>
      </c>
    </row>
    <row r="64" spans="1:30" ht="27">
      <c r="A64" s="90"/>
      <c r="B64" s="90" t="s">
        <v>240</v>
      </c>
      <c r="C64" s="91"/>
      <c r="D64" s="90" t="s">
        <v>230</v>
      </c>
      <c r="E64" s="27" t="s">
        <v>231</v>
      </c>
      <c r="F64" s="90" t="s">
        <v>153</v>
      </c>
      <c r="G64" s="90" t="s">
        <v>153</v>
      </c>
      <c r="H64" s="90" t="s">
        <v>153</v>
      </c>
      <c r="I64" s="90" t="s">
        <v>153</v>
      </c>
      <c r="J64" s="90" t="s">
        <v>231</v>
      </c>
      <c r="K64" s="90" t="s">
        <v>153</v>
      </c>
      <c r="L64" s="90" t="s">
        <v>153</v>
      </c>
      <c r="M64" s="90" t="s">
        <v>153</v>
      </c>
      <c r="N64" s="90" t="s">
        <v>153</v>
      </c>
      <c r="O64" s="90" t="s">
        <v>153</v>
      </c>
      <c r="P64" s="90" t="s">
        <v>153</v>
      </c>
      <c r="Q64" s="90" t="s">
        <v>153</v>
      </c>
      <c r="R64" s="90" t="s">
        <v>153</v>
      </c>
      <c r="S64" s="90" t="s">
        <v>153</v>
      </c>
      <c r="T64" s="90" t="s">
        <v>153</v>
      </c>
      <c r="U64" s="90" t="s">
        <v>153</v>
      </c>
      <c r="V64" s="90" t="s">
        <v>231</v>
      </c>
      <c r="W64" s="90" t="s">
        <v>153</v>
      </c>
      <c r="X64" s="90" t="s">
        <v>153</v>
      </c>
      <c r="Y64" s="90" t="s">
        <v>153</v>
      </c>
      <c r="Z64" s="90" t="s">
        <v>232</v>
      </c>
      <c r="AA64" s="90" t="s">
        <v>153</v>
      </c>
      <c r="AB64" s="90" t="s">
        <v>153</v>
      </c>
      <c r="AC64" s="90" t="s">
        <v>231</v>
      </c>
      <c r="AD64" s="90" t="s">
        <v>153</v>
      </c>
    </row>
  </sheetData>
  <sheetProtection/>
  <mergeCells count="36">
    <mergeCell ref="AC61:AD61"/>
    <mergeCell ref="E61:H61"/>
    <mergeCell ref="A61:A62"/>
    <mergeCell ref="B61:B62"/>
    <mergeCell ref="C61:C62"/>
    <mergeCell ref="D61:D62"/>
    <mergeCell ref="I61:N61"/>
    <mergeCell ref="O61:U61"/>
    <mergeCell ref="V61:Y61"/>
    <mergeCell ref="Z61:AB61"/>
    <mergeCell ref="A56:O56"/>
    <mergeCell ref="A47:J47"/>
    <mergeCell ref="A57:O57"/>
    <mergeCell ref="A58:O58"/>
    <mergeCell ref="A60:Q60"/>
    <mergeCell ref="A49:O49"/>
    <mergeCell ref="A50:O50"/>
    <mergeCell ref="A51:O51"/>
    <mergeCell ref="A53:O53"/>
    <mergeCell ref="A54:O54"/>
    <mergeCell ref="A36:Q36"/>
    <mergeCell ref="A46:O46"/>
    <mergeCell ref="A1:Q1"/>
    <mergeCell ref="A3:Q3"/>
    <mergeCell ref="C4:Q4"/>
    <mergeCell ref="C5:E5"/>
    <mergeCell ref="F5:H5"/>
    <mergeCell ref="I5:K5"/>
    <mergeCell ref="L5:N5"/>
    <mergeCell ref="O5:Q5"/>
    <mergeCell ref="B4:B6"/>
    <mergeCell ref="A4:A6"/>
    <mergeCell ref="B33:B34"/>
    <mergeCell ref="G33:G34"/>
    <mergeCell ref="D34:E34"/>
    <mergeCell ref="A30:Q30"/>
  </mergeCells>
  <printOptions/>
  <pageMargins left="0.7" right="0.7" top="0.75" bottom="0.75" header="0.3" footer="0.3"/>
  <pageSetup horizontalDpi="600" verticalDpi="600" orientation="landscape" paperSize="9" scale="34" r:id="rId1"/>
  <rowBreaks count="1" manualBreakCount="1">
    <brk id="35" max="255" man="1"/>
  </rowBreaks>
  <ignoredErrors>
    <ignoredError sqref="A15 A24 A33 A43:A44" numberStoredAsText="1"/>
    <ignoredError sqref="A17:A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2021-04-02T03:10:58Z</dcterms:modified>
  <cp:category/>
  <cp:version/>
  <cp:contentType/>
  <cp:contentStatus/>
</cp:coreProperties>
</file>