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240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инфор.'!$A$1:$N$36</definedName>
    <definedName name="_xlnm.Print_Area" localSheetId="1">'2 Показат. кач. передача'!$A$1:$T$49</definedName>
    <definedName name="_xlnm.Print_Area" localSheetId="2">'3 Показатели кач. тех. прис.'!$A$1:$T$55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  <comment ref="C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 Молодова не принимают</t>
        </r>
      </text>
    </comment>
    <comment ref="H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 Молодова не принимают</t>
        </r>
      </text>
    </comment>
  </commentList>
</comments>
</file>

<file path=xl/sharedStrings.xml><?xml version="1.0" encoding="utf-8"?>
<sst xmlns="http://schemas.openxmlformats.org/spreadsheetml/2006/main" count="539" uniqueCount="280">
  <si>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</si>
  <si>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</si>
  <si>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</si>
  <si>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</si>
  <si>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</si>
  <si>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</si>
  <si>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</si>
  <si>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</si>
  <si>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</si>
  <si>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</si>
  <si>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</si>
  <si>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</si>
  <si>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</si>
  <si>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</si>
  <si>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</si>
  <si>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</si>
  <si>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</si>
  <si>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</si>
  <si>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</si>
  <si>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</si>
  <si>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</si>
  <si>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</si>
  <si>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</si>
  <si>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</si>
  <si>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</si>
  <si>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</si>
  <si>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</si>
  <si>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</si>
  <si>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</si>
  <si>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</si>
  <si>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</si>
  <si>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</si>
  <si>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</si>
  <si>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</si>
  <si>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</si>
  <si>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</si>
  <si>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</si>
  <si>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</si>
  <si>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</si>
  <si>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</si>
  <si>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</si>
  <si>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</si>
  <si>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</si>
  <si>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</si>
  <si>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</si>
  <si>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</si>
  <si>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</si>
  <si>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</si>
  <si>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</si>
  <si>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</si>
  <si>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</si>
  <si>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</si>
  <si>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</si>
  <si>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</si>
  <si>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</si>
  <si>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</si>
  <si>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</si>
  <si>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</si>
  <si>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</si>
  <si>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</si>
  <si>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</si>
  <si>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</si>
  <si>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</si>
  <si>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</si>
  <si>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</si>
  <si>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</si>
  <si>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</si>
  <si>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</si>
  <si>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</si>
  <si>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</si>
  <si>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</si>
  <si>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</si>
  <si>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</si>
  <si>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</si>
  <si>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</si>
  <si>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</si>
  <si>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</si>
  <si>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</si>
  <si>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</si>
  <si>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</si>
  <si>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</si>
  <si>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</si>
  <si>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</si>
  <si>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</si>
  <si>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</si>
  <si>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</si>
  <si>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</si>
  <si>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</si>
  <si>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</si>
  <si>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</si>
  <si>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</si>
  <si>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</si>
  <si>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</si>
  <si>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</si>
  <si>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</si>
  <si>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</si>
  <si>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</si>
  <si>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</si>
  <si>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</si>
  <si>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</si>
  <si>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</si>
  <si>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</si>
  <si>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</si>
  <si>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</si>
  <si>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</si>
  <si>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</si>
  <si>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</si>
  <si>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</si>
  <si>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</si>
  <si>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</si>
  <si>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</si>
  <si>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</si>
  <si>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</si>
  <si>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</si>
  <si>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</si>
  <si>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</si>
  <si>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</si>
  <si>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</si>
  <si>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</si>
  <si>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</si>
  <si>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</si>
  <si>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</si>
  <si>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</si>
  <si>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</si>
  <si>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</si>
  <si>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</si>
  <si>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</si>
  <si>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</si>
  <si>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</si>
  <si>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</si>
  <si>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</si>
  <si>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</si>
  <si>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</si>
  <si>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</si>
  <si>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</si>
  <si>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</si>
  <si>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</si>
  <si>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</si>
  <si>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</si>
  <si>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</si>
  <si>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</si>
  <si>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</si>
  <si>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</si>
  <si>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</si>
  <si>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</si>
  <si>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</si>
  <si>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</si>
  <si>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</si>
  <si>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</si>
  <si>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</si>
  <si>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</si>
  <si>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</si>
  <si>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</si>
  <si>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</si>
  <si>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</si>
  <si>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</si>
  <si>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</si>
  <si>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</si>
  <si>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</si>
  <si>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</si>
  <si>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</si>
  <si>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</si>
  <si>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</si>
  <si>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</si>
  <si>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</si>
  <si>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</si>
  <si>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</si>
  <si>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</si>
  <si>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</si>
  <si>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</si>
  <si>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</si>
  <si>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</si>
  <si>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</si>
  <si>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</si>
  <si>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</si>
  <si>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</si>
  <si>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</si>
  <si>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</si>
  <si>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</si>
  <si>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</si>
  <si>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</si>
  <si>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</si>
  <si>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</si>
  <si>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</si>
  <si>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</si>
  <si>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</si>
  <si>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</si>
  <si>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</si>
  <si>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</si>
  <si>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</si>
  <si>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</si>
  <si>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</si>
  <si>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</si>
  <si>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</si>
  <si>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</si>
  <si>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</si>
  <si>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</si>
  <si>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</si>
  <si>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</si>
  <si>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</si>
  <si>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</si>
  <si>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</si>
  <si>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</si>
  <si>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</si>
  <si>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</si>
  <si>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</si>
  <si>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</si>
  <si>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</si>
  <si>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</si>
  <si>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</si>
  <si>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</si>
  <si>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</si>
  <si>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</si>
  <si>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</si>
  <si>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</si>
  <si>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</si>
  <si>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</si>
  <si>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</si>
  <si>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</si>
  <si>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</si>
  <si>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</si>
  <si>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</si>
  <si>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</si>
  <si>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</si>
  <si>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</si>
  <si>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</si>
  <si>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</si>
  <si>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</si>
  <si>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</si>
  <si>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</si>
  <si>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не фиксируется</t>
  </si>
  <si>
    <t xml:space="preserve"> +</t>
  </si>
  <si>
    <t xml:space="preserve">  +</t>
  </si>
  <si>
    <t>ИП Кацман В.В.</t>
  </si>
  <si>
    <t>65 % рост относительно факта 2015 года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</si>
  <si>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</si>
  <si>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</si>
  <si>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</si>
  <si>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</si>
  <si>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</si>
  <si>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</si>
  <si>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</si>
  <si>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0,3</t>
  </si>
  <si>
    <t>По стандартизированной тарифной ставке</t>
  </si>
  <si>
    <t>Способ расчета</t>
  </si>
  <si>
    <t>По ставке за единицу мощности</t>
  </si>
  <si>
    <t>5</t>
  </si>
  <si>
    <t>6</t>
  </si>
  <si>
    <t>2018 год (факт)</t>
  </si>
  <si>
    <t>II, III</t>
  </si>
  <si>
    <t>13</t>
  </si>
  <si>
    <t>Население и прирав., в т.ч.:</t>
  </si>
  <si>
    <t xml:space="preserve"> - ИПУ в ЧЖД</t>
  </si>
  <si>
    <t xml:space="preserve"> - ОДПУ в мжд</t>
  </si>
  <si>
    <t xml:space="preserve"> - безхоз</t>
  </si>
  <si>
    <t xml:space="preserve"> - АСКУЭ</t>
  </si>
  <si>
    <t>0</t>
  </si>
  <si>
    <t xml:space="preserve"> - приравненные</t>
  </si>
  <si>
    <t>81,398</t>
  </si>
  <si>
    <t>2018 год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</si>
  <si>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 Цена указана без учета НДС 20%</t>
  </si>
  <si>
    <t>2018</t>
  </si>
  <si>
    <t>г. Омск, ул. 10 лет Октября, 203, стр1, каб13</t>
  </si>
  <si>
    <t>10:00 - 16:00</t>
  </si>
  <si>
    <t>Заочная форма с использованием                          телефонной связи</t>
  </si>
  <si>
    <t>79-05-93</t>
  </si>
  <si>
    <t>79-05-93; tsotp1@yandex.ru</t>
  </si>
  <si>
    <t>106 % рост относительно факта 2017 года</t>
  </si>
  <si>
    <t>1. Стоимость услуг тех. присоединения к сетям ИП Кацман В.В. определяется согласно тарифным ставкам, установленными в редакции Приказа РЭК № 668/95 от 27.12.2018г.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2019 год» Расчет окончательной стоимости определяется по формулам, указанным в Приложении №4 настоящего приказа</t>
  </si>
  <si>
    <t>57%</t>
  </si>
  <si>
    <t>39%</t>
  </si>
  <si>
    <t>2019 год (прогноз)</t>
  </si>
  <si>
    <t>7</t>
  </si>
  <si>
    <t>8</t>
  </si>
  <si>
    <t>9</t>
  </si>
  <si>
    <t>10</t>
  </si>
  <si>
    <t>33 % рост относительно факта 2017 года</t>
  </si>
  <si>
    <t>2019 прогноз</t>
  </si>
  <si>
    <t>56%</t>
  </si>
  <si>
    <t>37%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</si>
</sst>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textRotation="180" wrapText="1"/>
    </xf>
    <xf numFmtId="2" fontId="46" fillId="0" borderId="0" xfId="0" applyNumberFormat="1" applyFont="1" applyAlignment="1">
      <alignment horizontal="center" vertical="center" textRotation="18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" fontId="47" fillId="0" borderId="10" xfId="0" applyNumberFormat="1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0" fontId="46" fillId="0" borderId="11" xfId="0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3" fontId="47" fillId="0" borderId="15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top" wrapText="1"/>
    </xf>
    <xf numFmtId="2" fontId="10" fillId="0" borderId="10" xfId="0" applyNumberFormat="1" applyFont="1" applyBorder="1" applyAlignment="1">
      <alignment horizontal="center" vertical="center" textRotation="180" wrapText="1"/>
    </xf>
    <xf numFmtId="0" fontId="10" fillId="0" borderId="10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49" fontId="46" fillId="0" borderId="10" xfId="0" applyNumberFormat="1" applyFont="1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wrapText="1"/>
    </xf>
    <xf numFmtId="49" fontId="46" fillId="0" borderId="16" xfId="0" applyNumberFormat="1" applyFont="1" applyBorder="1" applyAlignment="1">
      <alignment/>
    </xf>
    <xf numFmtId="1" fontId="46" fillId="0" borderId="15" xfId="0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34" borderId="15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wrapText="1"/>
    </xf>
    <xf numFmtId="49" fontId="46" fillId="34" borderId="16" xfId="0" applyNumberFormat="1" applyFont="1" applyFill="1" applyBorder="1" applyAlignment="1">
      <alignment horizontal="center" wrapText="1"/>
    </xf>
    <xf numFmtId="49" fontId="46" fillId="34" borderId="15" xfId="0" applyNumberFormat="1" applyFont="1" applyFill="1" applyBorder="1" applyAlignment="1">
      <alignment horizontal="center" wrapText="1"/>
    </xf>
    <xf numFmtId="49" fontId="46" fillId="34" borderId="14" xfId="0" applyNumberFormat="1" applyFont="1" applyFill="1" applyBorder="1" applyAlignment="1">
      <alignment horizontal="center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49" fontId="46" fillId="34" borderId="14" xfId="0" applyNumberFormat="1" applyFont="1" applyFill="1" applyBorder="1" applyAlignment="1">
      <alignment horizontal="center"/>
    </xf>
    <xf numFmtId="49" fontId="46" fillId="34" borderId="15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/>
    </xf>
    <xf numFmtId="49" fontId="46" fillId="0" borderId="19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49" fontId="46" fillId="0" borderId="21" xfId="0" applyNumberFormat="1" applyFont="1" applyFill="1" applyBorder="1" applyAlignment="1">
      <alignment horizontal="center"/>
    </xf>
    <xf numFmtId="9" fontId="46" fillId="0" borderId="12" xfId="0" applyNumberFormat="1" applyFont="1" applyFill="1" applyBorder="1" applyAlignment="1">
      <alignment horizontal="center" vertical="center"/>
    </xf>
    <xf numFmtId="9" fontId="46" fillId="0" borderId="13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top" wrapText="1"/>
    </xf>
    <xf numFmtId="16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7" fillId="0" borderId="10" xfId="0" applyFont="1" applyFill="1" applyBorder="1" applyAlignment="1">
      <alignment vertical="top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  <xf numFmtId="49" fontId="46" fillId="34" borderId="15" xfId="0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49" fontId="46" fillId="34" borderId="14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49" fontId="46" fillId="34" borderId="25" xfId="0" applyNumberFormat="1" applyFont="1" applyFill="1" applyBorder="1" applyAlignment="1">
      <alignment horizontal="center" vertical="center" wrapText="1"/>
    </xf>
    <xf numFmtId="49" fontId="46" fillId="34" borderId="26" xfId="0" applyNumberFormat="1" applyFont="1" applyFill="1" applyBorder="1" applyAlignment="1">
      <alignment horizontal="center" vertical="center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49" fontId="46" fillId="34" borderId="22" xfId="0" applyNumberFormat="1" applyFont="1" applyFill="1" applyBorder="1" applyAlignment="1">
      <alignment horizontal="center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  <xf numFmtId="49" fontId="46" fillId="34" borderId="15" xfId="0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49" fontId="46" fillId="34" borderId="14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justify" wrapText="1"/>
    </xf>
    <xf numFmtId="0" fontId="46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27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wrapText="1"/>
    </xf>
    <xf numFmtId="0" fontId="52" fillId="0" borderId="0" xfId="0" applyFont="1" applyAlignment="1">
      <alignment horizontal="left" vertical="center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28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7" fillId="33" borderId="20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3" fontId="4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7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" fontId="46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16" fontId="49" fillId="0" borderId="0" xfId="0" applyNumberFormat="1" applyFont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621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12</xdr:row>
      <xdr:rowOff>161925</xdr:rowOff>
    </xdr:from>
    <xdr:to>
      <xdr:col>1</xdr:col>
      <xdr:colOff>1828800</xdr:colOff>
      <xdr:row>13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28575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2219325</xdr:colOff>
      <xdr:row>18</xdr:row>
      <xdr:rowOff>619125</xdr:rowOff>
    </xdr:from>
    <xdr:to>
      <xdr:col>1</xdr:col>
      <xdr:colOff>3019425</xdr:colOff>
      <xdr:row>19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459105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2390775</xdr:colOff>
      <xdr:row>24</xdr:row>
      <xdr:rowOff>619125</xdr:rowOff>
    </xdr:from>
    <xdr:to>
      <xdr:col>1</xdr:col>
      <xdr:colOff>2990850</xdr:colOff>
      <xdr:row>25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63531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298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58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441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727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85" zoomScaleSheetLayoutView="85" zoomScalePageLayoutView="0" workbookViewId="0" topLeftCell="A1">
      <selection activeCell="N2" sqref="N2"/>
    </sheetView>
  </sheetViews>
  <sheetFormatPr defaultColWidth="9.140625" defaultRowHeight="15"/>
  <cols>
    <col min="1" max="1" width="25.8515625" style="64" customWidth="1"/>
    <col min="2" max="2" width="15.421875" style="64" customWidth="1"/>
    <col min="3" max="3" width="15.28125" style="64" customWidth="1"/>
    <col min="4" max="4" width="13.8515625" style="64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21" t="s">
        <v>208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ht="15"/>
    <row r="3" spans="1:24" s="60" customFormat="1" ht="45.75" customHeight="1" thickBot="1">
      <c r="A3" s="120" t="s">
        <v>202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6"/>
      <c r="P3" s="6"/>
      <c r="Q3" s="6"/>
      <c r="R3" s="6"/>
      <c r="S3" s="6"/>
      <c r="T3" s="6"/>
      <c r="U3" s="6"/>
      <c r="V3" s="6"/>
      <c r="W3" s="6"/>
      <c r="X3" s="6"/>
    </row>
    <row r="4" spans="1:10" ht="15">
      <c r="A4" s="125" t="s">
        <v>204</v>
      </c>
      <c r="B4" s="126" t="s">
        <v>50</v>
      </c>
      <c r="C4" s="122" t="s">
        <v>248</v>
      </c>
      <c r="D4" s="123"/>
      <c r="E4" s="123"/>
      <c r="F4" s="124"/>
      <c r="G4" s="122" t="s">
        <v>271</v>
      </c>
      <c r="H4" s="123"/>
      <c r="I4" s="123"/>
      <c r="J4" s="124"/>
    </row>
    <row r="5" spans="1:10" s="61" customFormat="1" ht="15">
      <c r="A5" s="125"/>
      <c r="B5" s="126"/>
      <c r="C5" s="71" t="s">
        <v>19</v>
      </c>
      <c r="D5" s="72" t="s">
        <v>20</v>
      </c>
      <c r="E5" s="73" t="s">
        <v>21</v>
      </c>
      <c r="F5" s="74" t="s">
        <v>22</v>
      </c>
      <c r="G5" s="71" t="s">
        <v>19</v>
      </c>
      <c r="H5" s="72" t="s">
        <v>20</v>
      </c>
      <c r="I5" s="73" t="s">
        <v>21</v>
      </c>
      <c r="J5" s="74" t="s">
        <v>22</v>
      </c>
    </row>
    <row r="6" spans="1:10" s="61" customFormat="1" ht="15">
      <c r="A6" s="75" t="s">
        <v>154</v>
      </c>
      <c r="B6" s="76" t="s">
        <v>139</v>
      </c>
      <c r="C6" s="77" t="s">
        <v>148</v>
      </c>
      <c r="D6" s="75" t="s">
        <v>155</v>
      </c>
      <c r="E6" s="75" t="s">
        <v>246</v>
      </c>
      <c r="F6" s="78" t="s">
        <v>247</v>
      </c>
      <c r="G6" s="77" t="s">
        <v>272</v>
      </c>
      <c r="H6" s="75" t="s">
        <v>273</v>
      </c>
      <c r="I6" s="75" t="s">
        <v>274</v>
      </c>
      <c r="J6" s="78" t="s">
        <v>275</v>
      </c>
    </row>
    <row r="7" spans="1:10" ht="15">
      <c r="A7" s="62" t="s">
        <v>203</v>
      </c>
      <c r="B7" s="59" t="s">
        <v>249</v>
      </c>
      <c r="C7" s="55" t="s">
        <v>153</v>
      </c>
      <c r="D7" s="56" t="s">
        <v>153</v>
      </c>
      <c r="E7" s="81">
        <f>19+224</f>
        <v>243</v>
      </c>
      <c r="F7" s="82">
        <v>419</v>
      </c>
      <c r="G7" s="55" t="s">
        <v>153</v>
      </c>
      <c r="H7" s="56" t="s">
        <v>153</v>
      </c>
      <c r="I7" s="81">
        <v>323</v>
      </c>
      <c r="J7" s="82">
        <v>557</v>
      </c>
    </row>
    <row r="8" spans="1:10" ht="15.75" thickBot="1">
      <c r="A8" s="62" t="s">
        <v>235</v>
      </c>
      <c r="B8" s="59" t="s">
        <v>249</v>
      </c>
      <c r="C8" s="63" t="s">
        <v>153</v>
      </c>
      <c r="D8" s="37" t="s">
        <v>153</v>
      </c>
      <c r="E8" s="83" t="s">
        <v>250</v>
      </c>
      <c r="F8" s="84">
        <v>527</v>
      </c>
      <c r="G8" s="63" t="s">
        <v>153</v>
      </c>
      <c r="H8" s="37" t="s">
        <v>153</v>
      </c>
      <c r="I8" s="83">
        <v>17</v>
      </c>
      <c r="J8" s="84">
        <v>700</v>
      </c>
    </row>
    <row r="9" ht="15">
      <c r="A9" s="95" t="s">
        <v>267</v>
      </c>
    </row>
    <row r="10" ht="15">
      <c r="A10" s="35"/>
    </row>
    <row r="11" spans="1:14" s="65" customFormat="1" ht="60" customHeight="1" thickBot="1">
      <c r="A11" s="120" t="s">
        <v>205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0" s="66" customFormat="1" ht="60">
      <c r="A12" s="127" t="s">
        <v>204</v>
      </c>
      <c r="B12" s="79" t="s">
        <v>206</v>
      </c>
      <c r="C12" s="80" t="s">
        <v>207</v>
      </c>
      <c r="D12" s="115" t="s">
        <v>206</v>
      </c>
      <c r="E12" s="116" t="s">
        <v>207</v>
      </c>
      <c r="F12" s="5"/>
      <c r="G12" s="5"/>
      <c r="H12" s="5"/>
      <c r="I12" s="5"/>
      <c r="J12" s="5"/>
    </row>
    <row r="13" spans="1:10" s="66" customFormat="1" ht="15" customHeight="1">
      <c r="A13" s="128"/>
      <c r="B13" s="129" t="s">
        <v>248</v>
      </c>
      <c r="C13" s="130"/>
      <c r="D13" s="129" t="s">
        <v>271</v>
      </c>
      <c r="E13" s="130"/>
      <c r="F13" s="5"/>
      <c r="G13" s="5"/>
      <c r="H13" s="5"/>
      <c r="I13" s="5"/>
      <c r="J13" s="5"/>
    </row>
    <row r="14" spans="1:10" s="66" customFormat="1" ht="15">
      <c r="A14" s="76" t="s">
        <v>154</v>
      </c>
      <c r="B14" s="77" t="s">
        <v>139</v>
      </c>
      <c r="C14" s="78" t="s">
        <v>148</v>
      </c>
      <c r="D14" s="77" t="s">
        <v>155</v>
      </c>
      <c r="E14" s="78" t="s">
        <v>246</v>
      </c>
      <c r="F14" s="5"/>
      <c r="G14" s="5"/>
      <c r="H14" s="5"/>
      <c r="I14" s="5"/>
      <c r="J14" s="5"/>
    </row>
    <row r="15" spans="1:5" ht="15">
      <c r="A15" s="67" t="s">
        <v>203</v>
      </c>
      <c r="B15" s="68">
        <v>624</v>
      </c>
      <c r="C15" s="69">
        <v>624</v>
      </c>
      <c r="D15" s="68">
        <v>829</v>
      </c>
      <c r="E15" s="69">
        <v>829</v>
      </c>
    </row>
    <row r="16" spans="1:5" ht="15">
      <c r="A16" s="62" t="s">
        <v>251</v>
      </c>
      <c r="B16" s="68">
        <v>955</v>
      </c>
      <c r="C16" s="69">
        <v>940</v>
      </c>
      <c r="D16" s="68">
        <v>1270</v>
      </c>
      <c r="E16" s="69">
        <v>1250</v>
      </c>
    </row>
    <row r="17" spans="1:5" ht="15">
      <c r="A17" s="67" t="s">
        <v>257</v>
      </c>
      <c r="B17" s="68">
        <v>3</v>
      </c>
      <c r="C17" s="69">
        <v>3</v>
      </c>
      <c r="D17" s="68">
        <v>3</v>
      </c>
      <c r="E17" s="69">
        <v>3</v>
      </c>
    </row>
    <row r="18" spans="1:5" ht="15">
      <c r="A18" s="67" t="s">
        <v>252</v>
      </c>
      <c r="B18" s="68">
        <v>418</v>
      </c>
      <c r="C18" s="69">
        <v>403</v>
      </c>
      <c r="D18" s="68">
        <v>555</v>
      </c>
      <c r="E18" s="69">
        <v>535</v>
      </c>
    </row>
    <row r="19" spans="1:5" ht="15">
      <c r="A19" s="67" t="s">
        <v>253</v>
      </c>
      <c r="B19" s="68">
        <v>532</v>
      </c>
      <c r="C19" s="69">
        <v>532</v>
      </c>
      <c r="D19" s="68">
        <v>707</v>
      </c>
      <c r="E19" s="69">
        <v>707</v>
      </c>
    </row>
    <row r="20" spans="1:5" ht="15">
      <c r="A20" s="67" t="s">
        <v>254</v>
      </c>
      <c r="B20" s="55" t="s">
        <v>139</v>
      </c>
      <c r="C20" s="85">
        <v>2</v>
      </c>
      <c r="D20" s="55" t="s">
        <v>139</v>
      </c>
      <c r="E20" s="85">
        <v>2</v>
      </c>
    </row>
    <row r="21" spans="1:5" ht="15.75" thickBot="1">
      <c r="A21" s="67" t="s">
        <v>255</v>
      </c>
      <c r="B21" s="63" t="s">
        <v>256</v>
      </c>
      <c r="C21" s="38">
        <v>0</v>
      </c>
      <c r="D21" s="63" t="s">
        <v>256</v>
      </c>
      <c r="E21" s="38">
        <v>0</v>
      </c>
    </row>
    <row r="22" ht="15">
      <c r="A22" s="95" t="s">
        <v>276</v>
      </c>
    </row>
    <row r="23" ht="15"/>
    <row r="24" spans="1:14" ht="39.75" customHeight="1" thickBot="1">
      <c r="A24" s="120" t="s">
        <v>209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0" s="5" customFormat="1" ht="15" customHeight="1">
      <c r="A25" s="137" t="s">
        <v>210</v>
      </c>
      <c r="B25" s="132" t="s">
        <v>211</v>
      </c>
      <c r="C25" s="132"/>
      <c r="D25" s="132" t="s">
        <v>212</v>
      </c>
      <c r="E25" s="133"/>
      <c r="F25" s="137" t="s">
        <v>210</v>
      </c>
      <c r="G25" s="132" t="s">
        <v>211</v>
      </c>
      <c r="H25" s="132"/>
      <c r="I25" s="132" t="s">
        <v>212</v>
      </c>
      <c r="J25" s="133"/>
    </row>
    <row r="26" spans="1:10" ht="15">
      <c r="A26" s="138"/>
      <c r="B26" s="86" t="s">
        <v>214</v>
      </c>
      <c r="C26" s="86" t="s">
        <v>213</v>
      </c>
      <c r="D26" s="86" t="s">
        <v>214</v>
      </c>
      <c r="E26" s="87" t="s">
        <v>213</v>
      </c>
      <c r="F26" s="138"/>
      <c r="G26" s="118" t="s">
        <v>214</v>
      </c>
      <c r="H26" s="118" t="s">
        <v>213</v>
      </c>
      <c r="I26" s="118" t="s">
        <v>214</v>
      </c>
      <c r="J26" s="119" t="s">
        <v>213</v>
      </c>
    </row>
    <row r="27" spans="1:10" ht="15">
      <c r="A27" s="134" t="s">
        <v>248</v>
      </c>
      <c r="B27" s="135"/>
      <c r="C27" s="135"/>
      <c r="D27" s="135"/>
      <c r="E27" s="136"/>
      <c r="F27" s="134" t="s">
        <v>271</v>
      </c>
      <c r="G27" s="135"/>
      <c r="H27" s="135"/>
      <c r="I27" s="135"/>
      <c r="J27" s="136"/>
    </row>
    <row r="28" spans="1:14" s="61" customFormat="1" ht="15.75" thickBot="1">
      <c r="A28" s="36">
        <v>64</v>
      </c>
      <c r="B28" s="37" t="s">
        <v>242</v>
      </c>
      <c r="C28" s="37" t="s">
        <v>256</v>
      </c>
      <c r="D28" s="37" t="s">
        <v>258</v>
      </c>
      <c r="E28" s="38">
        <v>72.111</v>
      </c>
      <c r="F28" s="36">
        <v>66</v>
      </c>
      <c r="G28" s="37" t="s">
        <v>242</v>
      </c>
      <c r="H28" s="37" t="s">
        <v>256</v>
      </c>
      <c r="I28" s="37" t="s">
        <v>258</v>
      </c>
      <c r="J28" s="38">
        <v>72.111</v>
      </c>
      <c r="K28" s="1"/>
      <c r="L28" s="1"/>
      <c r="M28" s="1"/>
      <c r="N28" s="1"/>
    </row>
    <row r="29" spans="1:14" s="61" customFormat="1" ht="15">
      <c r="A29" s="35" t="s">
        <v>234</v>
      </c>
      <c r="B29" s="70"/>
      <c r="C29" s="70"/>
      <c r="D29" s="70"/>
      <c r="I29" s="1"/>
      <c r="J29" s="1"/>
      <c r="K29" s="1"/>
      <c r="L29" s="1"/>
      <c r="M29" s="1"/>
      <c r="N29" s="1"/>
    </row>
    <row r="30" ht="15"/>
    <row r="31" spans="1:14" ht="35.25" customHeight="1" thickBot="1">
      <c r="A31" s="120" t="s">
        <v>215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0" s="66" customFormat="1" ht="15" customHeight="1">
      <c r="A32" s="126" t="s">
        <v>217</v>
      </c>
      <c r="B32" s="131" t="s">
        <v>216</v>
      </c>
      <c r="C32" s="132"/>
      <c r="D32" s="132"/>
      <c r="E32" s="133"/>
      <c r="F32" s="126" t="s">
        <v>217</v>
      </c>
      <c r="G32" s="131" t="s">
        <v>216</v>
      </c>
      <c r="H32" s="132"/>
      <c r="I32" s="132"/>
      <c r="J32" s="133"/>
    </row>
    <row r="33" spans="1:10" s="61" customFormat="1" ht="15">
      <c r="A33" s="126"/>
      <c r="B33" s="88" t="s">
        <v>19</v>
      </c>
      <c r="C33" s="86" t="s">
        <v>20</v>
      </c>
      <c r="D33" s="86" t="s">
        <v>21</v>
      </c>
      <c r="E33" s="89" t="s">
        <v>22</v>
      </c>
      <c r="F33" s="126"/>
      <c r="G33" s="117" t="s">
        <v>19</v>
      </c>
      <c r="H33" s="118" t="s">
        <v>20</v>
      </c>
      <c r="I33" s="118" t="s">
        <v>21</v>
      </c>
      <c r="J33" s="89" t="s">
        <v>22</v>
      </c>
    </row>
    <row r="34" spans="1:10" ht="15">
      <c r="A34" s="126"/>
      <c r="B34" s="134" t="s">
        <v>259</v>
      </c>
      <c r="C34" s="135"/>
      <c r="D34" s="135"/>
      <c r="E34" s="136"/>
      <c r="F34" s="126"/>
      <c r="G34" s="134" t="s">
        <v>277</v>
      </c>
      <c r="H34" s="135"/>
      <c r="I34" s="135"/>
      <c r="J34" s="136"/>
    </row>
    <row r="35" spans="1:10" ht="15">
      <c r="A35" s="58" t="s">
        <v>224</v>
      </c>
      <c r="B35" s="96"/>
      <c r="C35" s="97"/>
      <c r="D35" s="97" t="s">
        <v>269</v>
      </c>
      <c r="E35" s="100" t="s">
        <v>270</v>
      </c>
      <c r="F35" s="58" t="s">
        <v>224</v>
      </c>
      <c r="G35" s="96"/>
      <c r="H35" s="97"/>
      <c r="I35" s="97" t="s">
        <v>278</v>
      </c>
      <c r="J35" s="100" t="s">
        <v>279</v>
      </c>
    </row>
    <row r="36" spans="1:10" ht="15.75" thickBot="1">
      <c r="A36" s="59" t="s">
        <v>225</v>
      </c>
      <c r="B36" s="98"/>
      <c r="C36" s="99"/>
      <c r="D36" s="101">
        <v>0.53</v>
      </c>
      <c r="E36" s="102">
        <v>0.37</v>
      </c>
      <c r="F36" s="59" t="s">
        <v>225</v>
      </c>
      <c r="G36" s="98"/>
      <c r="H36" s="99"/>
      <c r="I36" s="101">
        <v>0.53</v>
      </c>
      <c r="J36" s="102">
        <v>0.37</v>
      </c>
    </row>
  </sheetData>
  <sheetProtection/>
  <mergeCells count="26">
    <mergeCell ref="B32:E32"/>
    <mergeCell ref="B34:E34"/>
    <mergeCell ref="A32:A34"/>
    <mergeCell ref="A25:A26"/>
    <mergeCell ref="A27:E27"/>
    <mergeCell ref="B25:C25"/>
    <mergeCell ref="D25:E25"/>
    <mergeCell ref="A31:N31"/>
    <mergeCell ref="F25:F26"/>
    <mergeCell ref="G25:H25"/>
    <mergeCell ref="I25:J25"/>
    <mergeCell ref="F27:J27"/>
    <mergeCell ref="F32:F34"/>
    <mergeCell ref="G32:J32"/>
    <mergeCell ref="G34:J34"/>
    <mergeCell ref="A24:N24"/>
    <mergeCell ref="A1:R1"/>
    <mergeCell ref="C4:F4"/>
    <mergeCell ref="A4:A5"/>
    <mergeCell ref="B4:B5"/>
    <mergeCell ref="A3:N3"/>
    <mergeCell ref="A11:N11"/>
    <mergeCell ref="A12:A13"/>
    <mergeCell ref="B13:C13"/>
    <mergeCell ref="G4:J4"/>
    <mergeCell ref="D13:E13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4 B36:C36 B14:C14 B28:D28 B35:C35 C6:F6 E8 B20:B21 D35:E35 G6:J6 D14:E14 D20:D21 G28:J28 I35:J3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85" zoomScaleSheetLayoutView="85" zoomScalePageLayoutView="0" workbookViewId="0" topLeftCell="A1">
      <selection activeCell="I9" sqref="I9"/>
    </sheetView>
  </sheetViews>
  <sheetFormatPr defaultColWidth="9.140625" defaultRowHeight="15"/>
  <cols>
    <col min="1" max="1" width="6.7109375" style="103" customWidth="1"/>
    <col min="2" max="2" width="53.8515625" style="103" customWidth="1"/>
    <col min="3" max="3" width="12.28125" style="103" customWidth="1"/>
    <col min="4" max="4" width="13.28125" style="103" customWidth="1"/>
    <col min="5" max="5" width="14.140625" style="103" customWidth="1"/>
    <col min="6" max="18" width="9.140625" style="103" customWidth="1"/>
    <col min="19" max="19" width="32.7109375" style="103" customWidth="1"/>
    <col min="20" max="20" width="34.421875" style="103" customWidth="1"/>
    <col min="21" max="16384" width="9.140625" style="103" customWidth="1"/>
  </cols>
  <sheetData>
    <row r="1" spans="1:13" ht="15.75">
      <c r="A1" s="152" t="s">
        <v>222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04" customFormat="1" ht="12.75">
      <c r="A2" s="144" t="s">
        <v>120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4" spans="1:5" ht="15">
      <c r="A4" s="141" t="s">
        <v>2</v>
      </c>
      <c r="B4" s="141" t="s">
        <v>0</v>
      </c>
      <c r="C4" s="141" t="s">
        <v>1</v>
      </c>
      <c r="D4" s="141"/>
      <c r="E4" s="141"/>
    </row>
    <row r="5" spans="1:5" ht="38.25">
      <c r="A5" s="141"/>
      <c r="B5" s="141"/>
      <c r="C5" s="105" t="s">
        <v>3</v>
      </c>
      <c r="D5" s="105" t="s">
        <v>4</v>
      </c>
      <c r="E5" s="105" t="s">
        <v>5</v>
      </c>
    </row>
    <row r="6" spans="1:5" ht="15">
      <c r="A6" s="105">
        <v>1</v>
      </c>
      <c r="B6" s="105">
        <v>2</v>
      </c>
      <c r="C6" s="105">
        <v>3</v>
      </c>
      <c r="D6" s="105">
        <v>4</v>
      </c>
      <c r="E6" s="105">
        <v>5</v>
      </c>
    </row>
    <row r="7" spans="1:5" ht="25.5" customHeight="1">
      <c r="A7" s="141">
        <v>1</v>
      </c>
      <c r="B7" s="149" t="s">
        <v>219</v>
      </c>
      <c r="C7" s="145">
        <v>5.3788</v>
      </c>
      <c r="D7" s="145">
        <v>25.5275</v>
      </c>
      <c r="E7" s="145">
        <f>(D7-C7)/C7*100</f>
        <v>374.5947051386926</v>
      </c>
    </row>
    <row r="8" spans="1:5" ht="15">
      <c r="A8" s="141"/>
      <c r="B8" s="149"/>
      <c r="C8" s="146"/>
      <c r="D8" s="146"/>
      <c r="E8" s="146"/>
    </row>
    <row r="9" spans="1:5" ht="15">
      <c r="A9" s="106" t="s">
        <v>96</v>
      </c>
      <c r="B9" s="107" t="s">
        <v>6</v>
      </c>
      <c r="C9" s="110" t="s">
        <v>153</v>
      </c>
      <c r="D9" s="110" t="s">
        <v>115</v>
      </c>
      <c r="E9" s="110" t="s">
        <v>115</v>
      </c>
    </row>
    <row r="10" spans="1:5" ht="15">
      <c r="A10" s="106" t="s">
        <v>97</v>
      </c>
      <c r="B10" s="107" t="s">
        <v>7</v>
      </c>
      <c r="C10" s="110" t="s">
        <v>153</v>
      </c>
      <c r="D10" s="110" t="s">
        <v>115</v>
      </c>
      <c r="E10" s="110" t="s">
        <v>115</v>
      </c>
    </row>
    <row r="11" spans="1:5" ht="15">
      <c r="A11" s="106" t="s">
        <v>98</v>
      </c>
      <c r="B11" s="107" t="s">
        <v>8</v>
      </c>
      <c r="C11" s="109">
        <v>5.3788</v>
      </c>
      <c r="D11" s="109">
        <v>25.5275</v>
      </c>
      <c r="E11" s="109">
        <f>E7</f>
        <v>374.5947051386926</v>
      </c>
    </row>
    <row r="12" spans="1:5" ht="15">
      <c r="A12" s="106" t="s">
        <v>99</v>
      </c>
      <c r="B12" s="107" t="s">
        <v>9</v>
      </c>
      <c r="C12" s="109">
        <v>5.3788</v>
      </c>
      <c r="D12" s="109">
        <v>25.5275</v>
      </c>
      <c r="E12" s="109">
        <f>E7</f>
        <v>374.5947051386926</v>
      </c>
    </row>
    <row r="13" spans="1:5" ht="25.5" customHeight="1">
      <c r="A13" s="141">
        <v>2</v>
      </c>
      <c r="B13" s="149" t="s">
        <v>218</v>
      </c>
      <c r="C13" s="145">
        <v>2.2427</v>
      </c>
      <c r="D13" s="145">
        <v>11.25</v>
      </c>
      <c r="E13" s="145">
        <f>(D13-C13)/C13*100</f>
        <v>401.6275025638739</v>
      </c>
    </row>
    <row r="14" spans="1:5" ht="15">
      <c r="A14" s="141"/>
      <c r="B14" s="149"/>
      <c r="C14" s="146"/>
      <c r="D14" s="146"/>
      <c r="E14" s="146"/>
    </row>
    <row r="15" spans="1:5" ht="15">
      <c r="A15" s="106" t="s">
        <v>100</v>
      </c>
      <c r="B15" s="107" t="s">
        <v>6</v>
      </c>
      <c r="C15" s="110" t="s">
        <v>115</v>
      </c>
      <c r="D15" s="110" t="s">
        <v>115</v>
      </c>
      <c r="E15" s="110" t="s">
        <v>115</v>
      </c>
    </row>
    <row r="16" spans="1:5" ht="15">
      <c r="A16" s="106" t="s">
        <v>101</v>
      </c>
      <c r="B16" s="107" t="s">
        <v>7</v>
      </c>
      <c r="C16" s="110" t="s">
        <v>115</v>
      </c>
      <c r="D16" s="110" t="s">
        <v>115</v>
      </c>
      <c r="E16" s="110" t="s">
        <v>115</v>
      </c>
    </row>
    <row r="17" spans="1:5" ht="15">
      <c r="A17" s="106" t="s">
        <v>102</v>
      </c>
      <c r="B17" s="107" t="s">
        <v>8</v>
      </c>
      <c r="C17" s="109">
        <v>2.2427</v>
      </c>
      <c r="D17" s="109">
        <v>11.25</v>
      </c>
      <c r="E17" s="109">
        <f>E13</f>
        <v>401.6275025638739</v>
      </c>
    </row>
    <row r="18" spans="1:5" ht="15">
      <c r="A18" s="106" t="s">
        <v>103</v>
      </c>
      <c r="B18" s="107" t="s">
        <v>9</v>
      </c>
      <c r="C18" s="109">
        <v>2.2427</v>
      </c>
      <c r="D18" s="109">
        <v>11.25</v>
      </c>
      <c r="E18" s="109">
        <f>E13</f>
        <v>401.6275025638739</v>
      </c>
    </row>
    <row r="19" spans="1:5" ht="63.75" customHeight="1">
      <c r="A19" s="147">
        <v>3</v>
      </c>
      <c r="B19" s="150" t="s">
        <v>220</v>
      </c>
      <c r="C19" s="145">
        <v>0.7647</v>
      </c>
      <c r="D19" s="145">
        <v>0</v>
      </c>
      <c r="E19" s="145">
        <f>(D19-C19)/C19*100</f>
        <v>-100</v>
      </c>
    </row>
    <row r="20" spans="1:5" ht="15">
      <c r="A20" s="148"/>
      <c r="B20" s="151"/>
      <c r="C20" s="146"/>
      <c r="D20" s="146"/>
      <c r="E20" s="146"/>
    </row>
    <row r="21" spans="1:5" ht="15">
      <c r="A21" s="106" t="s">
        <v>104</v>
      </c>
      <c r="B21" s="107" t="s">
        <v>6</v>
      </c>
      <c r="C21" s="110" t="s">
        <v>115</v>
      </c>
      <c r="D21" s="110" t="s">
        <v>115</v>
      </c>
      <c r="E21" s="110" t="s">
        <v>115</v>
      </c>
    </row>
    <row r="22" spans="1:5" ht="15">
      <c r="A22" s="106" t="s">
        <v>105</v>
      </c>
      <c r="B22" s="107" t="s">
        <v>7</v>
      </c>
      <c r="C22" s="110" t="s">
        <v>115</v>
      </c>
      <c r="D22" s="110" t="s">
        <v>115</v>
      </c>
      <c r="E22" s="110" t="s">
        <v>115</v>
      </c>
    </row>
    <row r="23" spans="1:5" ht="15">
      <c r="A23" s="106" t="s">
        <v>106</v>
      </c>
      <c r="B23" s="107" t="s">
        <v>8</v>
      </c>
      <c r="C23" s="109">
        <v>0.7647</v>
      </c>
      <c r="D23" s="109">
        <v>0</v>
      </c>
      <c r="E23" s="109">
        <f>E19</f>
        <v>-100</v>
      </c>
    </row>
    <row r="24" spans="1:5" ht="15">
      <c r="A24" s="106" t="s">
        <v>107</v>
      </c>
      <c r="B24" s="107" t="s">
        <v>9</v>
      </c>
      <c r="C24" s="109">
        <v>0.7647</v>
      </c>
      <c r="D24" s="109">
        <v>0</v>
      </c>
      <c r="E24" s="109">
        <f>E19</f>
        <v>-100</v>
      </c>
    </row>
    <row r="25" spans="1:5" ht="63.75" customHeight="1">
      <c r="A25" s="141">
        <v>4</v>
      </c>
      <c r="B25" s="149" t="s">
        <v>221</v>
      </c>
      <c r="C25" s="145">
        <v>2.2427</v>
      </c>
      <c r="D25" s="145">
        <v>0</v>
      </c>
      <c r="E25" s="145">
        <f>(D25-C25)/C25*100</f>
        <v>-100</v>
      </c>
    </row>
    <row r="26" spans="1:5" ht="15">
      <c r="A26" s="141"/>
      <c r="B26" s="149"/>
      <c r="C26" s="146"/>
      <c r="D26" s="146"/>
      <c r="E26" s="146"/>
    </row>
    <row r="27" spans="1:5" ht="15">
      <c r="A27" s="106" t="s">
        <v>108</v>
      </c>
      <c r="B27" s="107" t="s">
        <v>6</v>
      </c>
      <c r="C27" s="110" t="s">
        <v>115</v>
      </c>
      <c r="D27" s="110" t="s">
        <v>115</v>
      </c>
      <c r="E27" s="110" t="s">
        <v>115</v>
      </c>
    </row>
    <row r="28" spans="1:5" ht="15">
      <c r="A28" s="106" t="s">
        <v>109</v>
      </c>
      <c r="B28" s="107" t="s">
        <v>7</v>
      </c>
      <c r="C28" s="110" t="s">
        <v>115</v>
      </c>
      <c r="D28" s="110" t="s">
        <v>115</v>
      </c>
      <c r="E28" s="110" t="s">
        <v>115</v>
      </c>
    </row>
    <row r="29" spans="1:5" ht="15">
      <c r="A29" s="106" t="s">
        <v>110</v>
      </c>
      <c r="B29" s="107" t="s">
        <v>8</v>
      </c>
      <c r="C29" s="110">
        <v>2.2427</v>
      </c>
      <c r="D29" s="110">
        <v>0</v>
      </c>
      <c r="E29" s="110" t="s">
        <v>115</v>
      </c>
    </row>
    <row r="30" spans="1:5" ht="15">
      <c r="A30" s="106" t="s">
        <v>111</v>
      </c>
      <c r="B30" s="107" t="s">
        <v>9</v>
      </c>
      <c r="C30" s="110">
        <v>2.2427</v>
      </c>
      <c r="D30" s="110">
        <v>0</v>
      </c>
      <c r="E30" s="110" t="s">
        <v>115</v>
      </c>
    </row>
    <row r="31" spans="1:5" ht="38.25">
      <c r="A31" s="105">
        <v>5</v>
      </c>
      <c r="B31" s="111" t="s">
        <v>10</v>
      </c>
      <c r="C31" s="110">
        <v>0</v>
      </c>
      <c r="D31" s="110">
        <v>0</v>
      </c>
      <c r="E31" s="110">
        <v>0</v>
      </c>
    </row>
    <row r="32" spans="1:5" ht="51">
      <c r="A32" s="106" t="s">
        <v>112</v>
      </c>
      <c r="B32" s="111" t="s">
        <v>11</v>
      </c>
      <c r="C32" s="110">
        <v>0</v>
      </c>
      <c r="D32" s="110">
        <v>0</v>
      </c>
      <c r="E32" s="110">
        <v>0</v>
      </c>
    </row>
    <row r="34" spans="1:20" s="112" customFormat="1" ht="12.75">
      <c r="A34" s="139" t="s">
        <v>118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</row>
    <row r="35" ht="15">
      <c r="A35" s="113"/>
    </row>
    <row r="36" spans="1:20" ht="133.5" customHeight="1">
      <c r="A36" s="141" t="s">
        <v>2</v>
      </c>
      <c r="B36" s="141" t="s">
        <v>12</v>
      </c>
      <c r="C36" s="141" t="s">
        <v>13</v>
      </c>
      <c r="D36" s="141"/>
      <c r="E36" s="141"/>
      <c r="F36" s="141"/>
      <c r="G36" s="141" t="s">
        <v>14</v>
      </c>
      <c r="H36" s="141"/>
      <c r="I36" s="141"/>
      <c r="J36" s="141"/>
      <c r="K36" s="141" t="s">
        <v>15</v>
      </c>
      <c r="L36" s="141"/>
      <c r="M36" s="141"/>
      <c r="N36" s="141"/>
      <c r="O36" s="141" t="s">
        <v>16</v>
      </c>
      <c r="P36" s="141"/>
      <c r="Q36" s="141"/>
      <c r="R36" s="141"/>
      <c r="S36" s="141" t="s">
        <v>17</v>
      </c>
      <c r="T36" s="141" t="s">
        <v>18</v>
      </c>
    </row>
    <row r="37" spans="1:20" ht="33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5">
      <c r="A38" s="141"/>
      <c r="B38" s="141"/>
      <c r="C38" s="105" t="s">
        <v>19</v>
      </c>
      <c r="D38" s="105" t="s">
        <v>20</v>
      </c>
      <c r="E38" s="105" t="s">
        <v>21</v>
      </c>
      <c r="F38" s="105" t="s">
        <v>22</v>
      </c>
      <c r="G38" s="105" t="s">
        <v>19</v>
      </c>
      <c r="H38" s="105" t="s">
        <v>20</v>
      </c>
      <c r="I38" s="105" t="s">
        <v>21</v>
      </c>
      <c r="J38" s="105" t="s">
        <v>22</v>
      </c>
      <c r="K38" s="105" t="s">
        <v>19</v>
      </c>
      <c r="L38" s="105" t="s">
        <v>20</v>
      </c>
      <c r="M38" s="105" t="s">
        <v>21</v>
      </c>
      <c r="N38" s="105" t="s">
        <v>22</v>
      </c>
      <c r="O38" s="105" t="s">
        <v>19</v>
      </c>
      <c r="P38" s="105" t="s">
        <v>20</v>
      </c>
      <c r="Q38" s="105" t="s">
        <v>21</v>
      </c>
      <c r="R38" s="105" t="s">
        <v>22</v>
      </c>
      <c r="S38" s="141"/>
      <c r="T38" s="141"/>
    </row>
    <row r="39" spans="1:20" ht="12" customHeight="1">
      <c r="A39" s="105">
        <v>1</v>
      </c>
      <c r="B39" s="105">
        <v>2</v>
      </c>
      <c r="C39" s="105">
        <v>3</v>
      </c>
      <c r="D39" s="105">
        <v>4</v>
      </c>
      <c r="E39" s="105">
        <v>5</v>
      </c>
      <c r="F39" s="105">
        <v>6</v>
      </c>
      <c r="G39" s="105">
        <v>7</v>
      </c>
      <c r="H39" s="105">
        <v>8</v>
      </c>
      <c r="I39" s="105">
        <v>9</v>
      </c>
      <c r="J39" s="105">
        <v>10</v>
      </c>
      <c r="K39" s="105">
        <v>11</v>
      </c>
      <c r="L39" s="105">
        <v>12</v>
      </c>
      <c r="M39" s="105">
        <v>13</v>
      </c>
      <c r="N39" s="105">
        <v>14</v>
      </c>
      <c r="O39" s="105">
        <v>15</v>
      </c>
      <c r="P39" s="105">
        <v>16</v>
      </c>
      <c r="Q39" s="105">
        <v>17</v>
      </c>
      <c r="R39" s="105">
        <v>18</v>
      </c>
      <c r="S39" s="105">
        <v>19</v>
      </c>
      <c r="T39" s="105">
        <v>20</v>
      </c>
    </row>
    <row r="40" spans="1:20" ht="15">
      <c r="A40" s="105">
        <v>1</v>
      </c>
      <c r="B40" s="114" t="s">
        <v>233</v>
      </c>
      <c r="C40" s="105"/>
      <c r="D40" s="105"/>
      <c r="E40" s="105">
        <f>D7</f>
        <v>25.5275</v>
      </c>
      <c r="F40" s="105">
        <f>D12</f>
        <v>25.5275</v>
      </c>
      <c r="G40" s="105"/>
      <c r="H40" s="105"/>
      <c r="I40" s="105">
        <f>D17</f>
        <v>11.25</v>
      </c>
      <c r="J40" s="105">
        <f>D18</f>
        <v>11.25</v>
      </c>
      <c r="K40" s="105"/>
      <c r="L40" s="105"/>
      <c r="M40" s="105">
        <f>D23</f>
        <v>0</v>
      </c>
      <c r="N40" s="105">
        <f>D24</f>
        <v>0</v>
      </c>
      <c r="O40" s="105"/>
      <c r="P40" s="105"/>
      <c r="Q40" s="105">
        <v>0</v>
      </c>
      <c r="R40" s="105">
        <v>0</v>
      </c>
      <c r="S40" s="105">
        <v>0.8975</v>
      </c>
      <c r="T40" s="105">
        <v>0</v>
      </c>
    </row>
    <row r="41" spans="1:20" ht="15">
      <c r="A41" s="105" t="s">
        <v>23</v>
      </c>
      <c r="B41" s="114" t="s">
        <v>24</v>
      </c>
      <c r="C41" s="108">
        <f>C40</f>
        <v>0</v>
      </c>
      <c r="D41" s="108">
        <f aca="true" t="shared" si="0" ref="D41:T41">D40</f>
        <v>0</v>
      </c>
      <c r="E41" s="108">
        <f t="shared" si="0"/>
        <v>25.5275</v>
      </c>
      <c r="F41" s="108">
        <f t="shared" si="0"/>
        <v>25.5275</v>
      </c>
      <c r="G41" s="108">
        <f t="shared" si="0"/>
        <v>0</v>
      </c>
      <c r="H41" s="108">
        <f t="shared" si="0"/>
        <v>0</v>
      </c>
      <c r="I41" s="108">
        <f t="shared" si="0"/>
        <v>11.25</v>
      </c>
      <c r="J41" s="108">
        <f t="shared" si="0"/>
        <v>11.25</v>
      </c>
      <c r="K41" s="108">
        <f t="shared" si="0"/>
        <v>0</v>
      </c>
      <c r="L41" s="108">
        <f t="shared" si="0"/>
        <v>0</v>
      </c>
      <c r="M41" s="108">
        <f t="shared" si="0"/>
        <v>0</v>
      </c>
      <c r="N41" s="108">
        <f t="shared" si="0"/>
        <v>0</v>
      </c>
      <c r="O41" s="108">
        <f t="shared" si="0"/>
        <v>0</v>
      </c>
      <c r="P41" s="108">
        <f t="shared" si="0"/>
        <v>0</v>
      </c>
      <c r="Q41" s="108">
        <f t="shared" si="0"/>
        <v>0</v>
      </c>
      <c r="R41" s="108">
        <f t="shared" si="0"/>
        <v>0</v>
      </c>
      <c r="S41" s="108">
        <f t="shared" si="0"/>
        <v>0.8975</v>
      </c>
      <c r="T41" s="108">
        <f t="shared" si="0"/>
        <v>0</v>
      </c>
    </row>
    <row r="42" ht="15">
      <c r="A42" s="113"/>
    </row>
    <row r="43" spans="1:20" ht="15">
      <c r="A43" s="139" t="s">
        <v>126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20" ht="15">
      <c r="A44" s="142" t="s">
        <v>127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</row>
    <row r="45" spans="1:20" ht="15">
      <c r="A45" s="142" t="s">
        <v>128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</row>
    <row r="46" spans="1:20" ht="15">
      <c r="A46" s="142" t="s">
        <v>129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5">
      <c r="A47" s="139" t="s">
        <v>25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</sheetData>
  <sheetProtection/>
  <mergeCells count="39">
    <mergeCell ref="C25:C26"/>
    <mergeCell ref="A1:M1"/>
    <mergeCell ref="A4:A5"/>
    <mergeCell ref="B4:B5"/>
    <mergeCell ref="C4:E4"/>
    <mergeCell ref="A7:A8"/>
    <mergeCell ref="B7:B8"/>
    <mergeCell ref="E7:E8"/>
    <mergeCell ref="D7:D8"/>
    <mergeCell ref="C7:C8"/>
    <mergeCell ref="A34:T34"/>
    <mergeCell ref="A2:M2"/>
    <mergeCell ref="A25:A26"/>
    <mergeCell ref="E25:E26"/>
    <mergeCell ref="A13:A14"/>
    <mergeCell ref="E13:E14"/>
    <mergeCell ref="A19:A20"/>
    <mergeCell ref="E19:E20"/>
    <mergeCell ref="B13:B14"/>
    <mergeCell ref="B19:B20"/>
    <mergeCell ref="B25:B26"/>
    <mergeCell ref="D13:D14"/>
    <mergeCell ref="D19:D20"/>
    <mergeCell ref="D25:D26"/>
    <mergeCell ref="C13:C14"/>
    <mergeCell ref="C19:C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85" zoomScaleSheetLayoutView="85" zoomScalePageLayoutView="0" workbookViewId="0" topLeftCell="A1">
      <selection activeCell="N2" sqref="N2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8" width="11.421875" style="1" customWidth="1"/>
    <col min="9" max="9" width="13.7109375" style="1" customWidth="1"/>
    <col min="10" max="12" width="11.421875" style="1" customWidth="1"/>
    <col min="13" max="13" width="10.00390625" style="1" customWidth="1"/>
    <col min="14" max="14" width="11.140625" style="1" customWidth="1"/>
    <col min="15" max="15" width="11.003906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0.7109375" style="1" customWidth="1"/>
    <col min="20" max="16384" width="9.140625" style="1" customWidth="1"/>
  </cols>
  <sheetData>
    <row r="1" spans="1:13" s="3" customFormat="1" ht="15.75">
      <c r="A1" s="121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3.5">
      <c r="A2" s="181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8" ht="56.25" customHeight="1">
      <c r="A3" s="175" t="s">
        <v>121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76"/>
      <c r="O3" s="176"/>
      <c r="P3" s="176"/>
      <c r="Q3" s="176"/>
      <c r="R3" s="176"/>
    </row>
    <row r="4" spans="1:18" ht="15">
      <c r="A4" s="175" t="s">
        <v>123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76"/>
      <c r="O4" s="176"/>
      <c r="P4" s="176"/>
      <c r="Q4" s="176"/>
      <c r="R4" s="176"/>
    </row>
    <row r="5" spans="1:18" ht="15">
      <c r="A5" s="177" t="s">
        <v>125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ht="15">
      <c r="A6" s="177" t="s">
        <v>122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15">
      <c r="A7" s="177" t="s">
        <v>124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8" spans="1:18" ht="15">
      <c r="A8" s="175" t="s">
        <v>27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76"/>
      <c r="O8" s="176"/>
      <c r="P8" s="176"/>
      <c r="Q8" s="176"/>
      <c r="R8" s="176"/>
    </row>
    <row r="9" spans="1:13" ht="15">
      <c r="A9" s="175" t="s">
        <v>28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ht="13.5">
      <c r="A10" s="2"/>
    </row>
    <row r="11" spans="1:18" ht="15">
      <c r="A11" s="165" t="s">
        <v>2</v>
      </c>
      <c r="B11" s="165" t="s">
        <v>0</v>
      </c>
      <c r="C11" s="165" t="s">
        <v>29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8" t="s">
        <v>30</v>
      </c>
    </row>
    <row r="12" spans="1:18" ht="25.5" customHeight="1">
      <c r="A12" s="165"/>
      <c r="B12" s="165"/>
      <c r="C12" s="165" t="s">
        <v>31</v>
      </c>
      <c r="D12" s="165"/>
      <c r="E12" s="165"/>
      <c r="F12" s="165" t="s">
        <v>32</v>
      </c>
      <c r="G12" s="165"/>
      <c r="H12" s="165"/>
      <c r="I12" s="165" t="s">
        <v>33</v>
      </c>
      <c r="J12" s="165"/>
      <c r="K12" s="165"/>
      <c r="L12" s="165" t="s">
        <v>34</v>
      </c>
      <c r="M12" s="165"/>
      <c r="N12" s="165"/>
      <c r="O12" s="165" t="s">
        <v>35</v>
      </c>
      <c r="P12" s="165"/>
      <c r="Q12" s="165"/>
      <c r="R12" s="169"/>
    </row>
    <row r="13" spans="1:18" ht="51">
      <c r="A13" s="165"/>
      <c r="B13" s="165"/>
      <c r="C13" s="16" t="s">
        <v>3</v>
      </c>
      <c r="D13" s="16" t="s">
        <v>4</v>
      </c>
      <c r="E13" s="16" t="s">
        <v>36</v>
      </c>
      <c r="F13" s="16" t="s">
        <v>3</v>
      </c>
      <c r="G13" s="16" t="s">
        <v>4</v>
      </c>
      <c r="H13" s="16" t="s">
        <v>36</v>
      </c>
      <c r="I13" s="16" t="s">
        <v>3</v>
      </c>
      <c r="J13" s="16" t="s">
        <v>4</v>
      </c>
      <c r="K13" s="16" t="s">
        <v>36</v>
      </c>
      <c r="L13" s="16" t="s">
        <v>3</v>
      </c>
      <c r="M13" s="16" t="s">
        <v>4</v>
      </c>
      <c r="N13" s="16" t="s">
        <v>36</v>
      </c>
      <c r="O13" s="16" t="s">
        <v>3</v>
      </c>
      <c r="P13" s="16" t="s">
        <v>4</v>
      </c>
      <c r="Q13" s="16" t="s">
        <v>36</v>
      </c>
      <c r="R13" s="170"/>
    </row>
    <row r="14" spans="1:18" ht="13.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</row>
    <row r="15" spans="1:22" ht="38.25">
      <c r="A15" s="13">
        <v>1</v>
      </c>
      <c r="B15" s="22" t="s">
        <v>37</v>
      </c>
      <c r="C15" s="23">
        <v>65</v>
      </c>
      <c r="D15" s="17">
        <v>55</v>
      </c>
      <c r="E15" s="18">
        <f>(D15-C15)/C15*100</f>
        <v>-15.384615384615385</v>
      </c>
      <c r="F15" s="23">
        <v>13</v>
      </c>
      <c r="G15" s="17">
        <v>18</v>
      </c>
      <c r="H15" s="18">
        <f>(G15-F15)/F15*100</f>
        <v>38.46153846153847</v>
      </c>
      <c r="I15" s="23">
        <v>2</v>
      </c>
      <c r="J15" s="17">
        <v>2</v>
      </c>
      <c r="K15" s="18">
        <f>(J15-I15)/I15*100</f>
        <v>0</v>
      </c>
      <c r="L15" s="23">
        <v>1</v>
      </c>
      <c r="M15" s="17">
        <v>2</v>
      </c>
      <c r="N15" s="18">
        <f>(M15-L15)/L15*100</f>
        <v>100</v>
      </c>
      <c r="O15" s="17">
        <v>0</v>
      </c>
      <c r="P15" s="17">
        <v>0</v>
      </c>
      <c r="Q15" s="17">
        <v>0</v>
      </c>
      <c r="R15" s="17">
        <f>D15+G15+J15+M15+P15</f>
        <v>77</v>
      </c>
      <c r="T15" s="19"/>
      <c r="U15" s="19"/>
      <c r="V15" s="20"/>
    </row>
    <row r="16" spans="1:22" ht="63.75">
      <c r="A16" s="13">
        <v>2</v>
      </c>
      <c r="B16" s="14" t="s">
        <v>38</v>
      </c>
      <c r="C16" s="23">
        <v>65</v>
      </c>
      <c r="D16" s="17">
        <v>53</v>
      </c>
      <c r="E16" s="18">
        <f>(D16-C16)/C16*100</f>
        <v>-18.461538461538463</v>
      </c>
      <c r="F16" s="23">
        <v>11</v>
      </c>
      <c r="G16" s="17">
        <v>16</v>
      </c>
      <c r="H16" s="18">
        <f>(G16-F16)/F16*100</f>
        <v>45.45454545454545</v>
      </c>
      <c r="I16" s="23">
        <v>2</v>
      </c>
      <c r="J16" s="17">
        <v>1</v>
      </c>
      <c r="K16" s="18">
        <f>(J16-I16)/I16*100</f>
        <v>-50</v>
      </c>
      <c r="L16" s="23">
        <v>1</v>
      </c>
      <c r="M16" s="17">
        <v>2</v>
      </c>
      <c r="N16" s="18">
        <f>(M16-L16)/L16*100</f>
        <v>100</v>
      </c>
      <c r="O16" s="17">
        <v>0</v>
      </c>
      <c r="P16" s="17">
        <v>0</v>
      </c>
      <c r="Q16" s="17">
        <v>0</v>
      </c>
      <c r="R16" s="17">
        <f>D16+G16+J16+M16+P16</f>
        <v>72</v>
      </c>
      <c r="T16" s="19"/>
      <c r="U16" s="19"/>
      <c r="V16" s="20"/>
    </row>
    <row r="17" spans="1:22" ht="102">
      <c r="A17" s="13">
        <v>3</v>
      </c>
      <c r="B17" s="14" t="s">
        <v>39</v>
      </c>
      <c r="C17" s="23">
        <v>0</v>
      </c>
      <c r="D17" s="17">
        <v>0</v>
      </c>
      <c r="E17" s="18">
        <v>0</v>
      </c>
      <c r="F17" s="23">
        <v>0</v>
      </c>
      <c r="G17" s="17">
        <v>0</v>
      </c>
      <c r="H17" s="18">
        <v>0</v>
      </c>
      <c r="I17" s="23">
        <v>0</v>
      </c>
      <c r="J17" s="17">
        <v>0</v>
      </c>
      <c r="K17" s="18">
        <v>0</v>
      </c>
      <c r="L17" s="23">
        <v>0</v>
      </c>
      <c r="M17" s="17">
        <v>0</v>
      </c>
      <c r="N17" s="18">
        <v>0</v>
      </c>
      <c r="O17" s="17">
        <v>0</v>
      </c>
      <c r="P17" s="17">
        <v>0</v>
      </c>
      <c r="Q17" s="17">
        <v>0</v>
      </c>
      <c r="R17" s="17">
        <v>0</v>
      </c>
      <c r="T17" s="19"/>
      <c r="U17" s="19"/>
      <c r="V17" s="20"/>
    </row>
    <row r="18" spans="1:22" ht="15">
      <c r="A18" s="15" t="s">
        <v>104</v>
      </c>
      <c r="B18" s="14" t="s">
        <v>40</v>
      </c>
      <c r="C18" s="24">
        <v>0</v>
      </c>
      <c r="D18" s="17">
        <v>0</v>
      </c>
      <c r="E18" s="18">
        <v>0</v>
      </c>
      <c r="F18" s="24">
        <v>0</v>
      </c>
      <c r="G18" s="17">
        <v>0</v>
      </c>
      <c r="H18" s="18">
        <v>0</v>
      </c>
      <c r="I18" s="24">
        <v>0</v>
      </c>
      <c r="J18" s="17">
        <v>0</v>
      </c>
      <c r="K18" s="18">
        <v>0</v>
      </c>
      <c r="L18" s="24">
        <v>0</v>
      </c>
      <c r="M18" s="17">
        <v>0</v>
      </c>
      <c r="N18" s="18">
        <v>0</v>
      </c>
      <c r="O18" s="17">
        <v>0</v>
      </c>
      <c r="P18" s="17">
        <v>0</v>
      </c>
      <c r="Q18" s="17">
        <v>0</v>
      </c>
      <c r="R18" s="24">
        <v>0</v>
      </c>
      <c r="T18" s="19"/>
      <c r="U18" s="19"/>
      <c r="V18" s="20"/>
    </row>
    <row r="19" spans="1:22" ht="15">
      <c r="A19" s="15" t="s">
        <v>105</v>
      </c>
      <c r="B19" s="14" t="s">
        <v>41</v>
      </c>
      <c r="C19" s="24">
        <v>0</v>
      </c>
      <c r="D19" s="17">
        <v>0</v>
      </c>
      <c r="E19" s="18">
        <v>0</v>
      </c>
      <c r="F19" s="24">
        <v>0</v>
      </c>
      <c r="G19" s="17">
        <v>0</v>
      </c>
      <c r="H19" s="18">
        <v>0</v>
      </c>
      <c r="I19" s="24">
        <v>0</v>
      </c>
      <c r="J19" s="17">
        <v>0</v>
      </c>
      <c r="K19" s="18">
        <v>0</v>
      </c>
      <c r="L19" s="24">
        <v>0</v>
      </c>
      <c r="M19" s="17">
        <v>0</v>
      </c>
      <c r="N19" s="18">
        <v>0</v>
      </c>
      <c r="O19" s="17">
        <v>0</v>
      </c>
      <c r="P19" s="17">
        <v>0</v>
      </c>
      <c r="Q19" s="17">
        <v>0</v>
      </c>
      <c r="R19" s="24">
        <v>0</v>
      </c>
      <c r="T19" s="19"/>
      <c r="U19" s="19"/>
      <c r="V19" s="20"/>
    </row>
    <row r="20" spans="1:22" ht="63.75">
      <c r="A20" s="13">
        <v>4</v>
      </c>
      <c r="B20" s="14" t="s">
        <v>42</v>
      </c>
      <c r="C20" s="23">
        <v>4</v>
      </c>
      <c r="D20" s="17">
        <v>4</v>
      </c>
      <c r="E20" s="18">
        <f>(D20-C20)/C20*100</f>
        <v>0</v>
      </c>
      <c r="F20" s="23">
        <v>4</v>
      </c>
      <c r="G20" s="17">
        <v>4</v>
      </c>
      <c r="H20" s="18">
        <f>(G20-F20)/F20*100</f>
        <v>0</v>
      </c>
      <c r="I20" s="23">
        <v>4</v>
      </c>
      <c r="J20" s="17">
        <v>4</v>
      </c>
      <c r="K20" s="18">
        <f>(J20-I20)/I20*100</f>
        <v>0</v>
      </c>
      <c r="L20" s="23">
        <v>4</v>
      </c>
      <c r="M20" s="17">
        <v>32</v>
      </c>
      <c r="N20" s="18">
        <f>(M20-L20)/L20*100</f>
        <v>700</v>
      </c>
      <c r="O20" s="17">
        <v>0</v>
      </c>
      <c r="P20" s="17">
        <v>0</v>
      </c>
      <c r="Q20" s="17">
        <v>0</v>
      </c>
      <c r="R20" s="17">
        <f>D20+G20+J20+M20+P20</f>
        <v>44</v>
      </c>
      <c r="T20" s="19"/>
      <c r="U20" s="19"/>
      <c r="V20" s="20"/>
    </row>
    <row r="21" spans="1:22" ht="51">
      <c r="A21" s="13">
        <v>5</v>
      </c>
      <c r="B21" s="14" t="s">
        <v>43</v>
      </c>
      <c r="C21" s="23">
        <v>50</v>
      </c>
      <c r="D21" s="17">
        <v>51</v>
      </c>
      <c r="E21" s="18">
        <f>(D21-C21)/C21*100</f>
        <v>2</v>
      </c>
      <c r="F21" s="23">
        <v>10</v>
      </c>
      <c r="G21" s="17">
        <v>14</v>
      </c>
      <c r="H21" s="18">
        <f>(G21-F21)/F21*100</f>
        <v>40</v>
      </c>
      <c r="I21" s="23">
        <v>2</v>
      </c>
      <c r="J21" s="17">
        <v>0</v>
      </c>
      <c r="K21" s="18">
        <f>(J21-I21)/I21*100</f>
        <v>-100</v>
      </c>
      <c r="L21" s="23">
        <v>1</v>
      </c>
      <c r="M21" s="17">
        <v>1</v>
      </c>
      <c r="N21" s="18">
        <f>(M21-L21)/L21*100</f>
        <v>0</v>
      </c>
      <c r="O21" s="17">
        <v>0</v>
      </c>
      <c r="P21" s="17">
        <v>0</v>
      </c>
      <c r="Q21" s="17">
        <v>0</v>
      </c>
      <c r="R21" s="17">
        <f>D21+G21+J21+M21+P21</f>
        <v>66</v>
      </c>
      <c r="T21" s="19"/>
      <c r="U21" s="19"/>
      <c r="V21" s="20"/>
    </row>
    <row r="22" spans="1:22" ht="51">
      <c r="A22" s="13">
        <v>6</v>
      </c>
      <c r="B22" s="14" t="s">
        <v>44</v>
      </c>
      <c r="C22" s="23">
        <v>35</v>
      </c>
      <c r="D22" s="17">
        <v>46</v>
      </c>
      <c r="E22" s="18">
        <f>(D22-C22)/C22*100</f>
        <v>31.428571428571427</v>
      </c>
      <c r="F22" s="23">
        <v>7</v>
      </c>
      <c r="G22" s="17">
        <v>12</v>
      </c>
      <c r="H22" s="18">
        <f>(G22-F22)/F22*100</f>
        <v>71.42857142857143</v>
      </c>
      <c r="I22" s="23">
        <v>2</v>
      </c>
      <c r="J22" s="17">
        <v>0</v>
      </c>
      <c r="K22" s="18">
        <f>(J22-I22)/I22*100</f>
        <v>-100</v>
      </c>
      <c r="L22" s="23">
        <v>1</v>
      </c>
      <c r="M22" s="17">
        <v>1</v>
      </c>
      <c r="N22" s="18">
        <f>(M22-L22)/L22*100</f>
        <v>0</v>
      </c>
      <c r="O22" s="17">
        <v>0</v>
      </c>
      <c r="P22" s="17">
        <v>0</v>
      </c>
      <c r="Q22" s="17">
        <v>0</v>
      </c>
      <c r="R22" s="17">
        <f>D22+G22+J22+M22+P22</f>
        <v>59</v>
      </c>
      <c r="T22" s="19"/>
      <c r="U22" s="19"/>
      <c r="V22" s="20"/>
    </row>
    <row r="23" spans="1:22" ht="89.25">
      <c r="A23" s="13">
        <v>7</v>
      </c>
      <c r="B23" s="14" t="s">
        <v>45</v>
      </c>
      <c r="C23" s="23">
        <v>0</v>
      </c>
      <c r="D23" s="17">
        <v>0</v>
      </c>
      <c r="E23" s="18">
        <v>0</v>
      </c>
      <c r="F23" s="23">
        <v>0</v>
      </c>
      <c r="G23" s="17">
        <v>0</v>
      </c>
      <c r="H23" s="18">
        <v>0</v>
      </c>
      <c r="I23" s="23">
        <v>0</v>
      </c>
      <c r="J23" s="17">
        <v>0</v>
      </c>
      <c r="K23" s="18">
        <v>0</v>
      </c>
      <c r="L23" s="23">
        <v>0</v>
      </c>
      <c r="M23" s="17">
        <v>0</v>
      </c>
      <c r="N23" s="18">
        <v>0</v>
      </c>
      <c r="O23" s="17">
        <v>0</v>
      </c>
      <c r="P23" s="17">
        <v>0</v>
      </c>
      <c r="Q23" s="17">
        <v>0</v>
      </c>
      <c r="R23" s="17">
        <v>0</v>
      </c>
      <c r="T23" s="19"/>
      <c r="U23" s="19"/>
      <c r="V23" s="20"/>
    </row>
    <row r="24" spans="1:22" ht="15">
      <c r="A24" s="15" t="s">
        <v>113</v>
      </c>
      <c r="B24" s="14" t="s">
        <v>40</v>
      </c>
      <c r="C24" s="24">
        <v>0</v>
      </c>
      <c r="D24" s="17">
        <v>0</v>
      </c>
      <c r="E24" s="18">
        <v>0</v>
      </c>
      <c r="F24" s="24">
        <v>0</v>
      </c>
      <c r="G24" s="17">
        <v>0</v>
      </c>
      <c r="H24" s="18">
        <v>0</v>
      </c>
      <c r="I24" s="24">
        <v>0</v>
      </c>
      <c r="J24" s="17">
        <v>0</v>
      </c>
      <c r="K24" s="18">
        <v>0</v>
      </c>
      <c r="L24" s="24">
        <v>0</v>
      </c>
      <c r="M24" s="17">
        <v>0</v>
      </c>
      <c r="N24" s="18">
        <v>0</v>
      </c>
      <c r="O24" s="17">
        <v>0</v>
      </c>
      <c r="P24" s="17">
        <v>0</v>
      </c>
      <c r="Q24" s="17">
        <v>0</v>
      </c>
      <c r="R24" s="17">
        <v>0</v>
      </c>
      <c r="T24" s="19"/>
      <c r="U24" s="19"/>
      <c r="V24" s="20"/>
    </row>
    <row r="25" spans="1:22" ht="15">
      <c r="A25" s="15" t="s">
        <v>114</v>
      </c>
      <c r="B25" s="14" t="s">
        <v>46</v>
      </c>
      <c r="C25" s="24">
        <v>0</v>
      </c>
      <c r="D25" s="17">
        <v>0</v>
      </c>
      <c r="E25" s="18">
        <v>0</v>
      </c>
      <c r="F25" s="24">
        <v>0</v>
      </c>
      <c r="G25" s="17">
        <v>0</v>
      </c>
      <c r="H25" s="18">
        <v>0</v>
      </c>
      <c r="I25" s="24">
        <v>0</v>
      </c>
      <c r="J25" s="17">
        <v>0</v>
      </c>
      <c r="K25" s="18">
        <v>0</v>
      </c>
      <c r="L25" s="24">
        <v>0</v>
      </c>
      <c r="M25" s="17">
        <v>0</v>
      </c>
      <c r="N25" s="18">
        <v>0</v>
      </c>
      <c r="O25" s="17">
        <v>0</v>
      </c>
      <c r="P25" s="17">
        <v>0</v>
      </c>
      <c r="Q25" s="17">
        <v>0</v>
      </c>
      <c r="R25" s="17">
        <v>0</v>
      </c>
      <c r="T25" s="19"/>
      <c r="U25" s="19"/>
      <c r="V25" s="20"/>
    </row>
    <row r="26" spans="1:22" ht="51">
      <c r="A26" s="13">
        <v>8</v>
      </c>
      <c r="B26" s="14" t="s">
        <v>47</v>
      </c>
      <c r="C26" s="23">
        <v>365</v>
      </c>
      <c r="D26" s="17">
        <v>365</v>
      </c>
      <c r="E26" s="18">
        <f>(D26-C26)/C26*100</f>
        <v>0</v>
      </c>
      <c r="F26" s="23">
        <v>365</v>
      </c>
      <c r="G26" s="17">
        <v>365</v>
      </c>
      <c r="H26" s="18">
        <f>(G26-F26)/F26*100</f>
        <v>0</v>
      </c>
      <c r="I26" s="23">
        <v>365</v>
      </c>
      <c r="J26" s="17">
        <v>0</v>
      </c>
      <c r="K26" s="18">
        <f>(J26-I26)/I26*100</f>
        <v>-100</v>
      </c>
      <c r="L26" s="23">
        <v>365</v>
      </c>
      <c r="M26" s="17">
        <v>365</v>
      </c>
      <c r="N26" s="18">
        <f>(M26-L26)/L26*100</f>
        <v>0</v>
      </c>
      <c r="O26" s="17">
        <v>0</v>
      </c>
      <c r="P26" s="17">
        <v>0</v>
      </c>
      <c r="Q26" s="17">
        <v>0</v>
      </c>
      <c r="R26" s="23">
        <v>365</v>
      </c>
      <c r="T26" s="19"/>
      <c r="U26" s="19"/>
      <c r="V26" s="20"/>
    </row>
    <row r="27" ht="15">
      <c r="A27" s="2"/>
    </row>
    <row r="28" spans="1:18" ht="33.75" customHeight="1">
      <c r="A28" s="173" t="s">
        <v>48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18" ht="28.5" customHeight="1" thickBot="1">
      <c r="A29" s="178" t="s">
        <v>268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</row>
    <row r="30" spans="2:20" ht="15">
      <c r="B30" s="171" t="s">
        <v>49</v>
      </c>
      <c r="C30" s="162"/>
      <c r="D30" s="163"/>
      <c r="E30" s="171">
        <v>15</v>
      </c>
      <c r="F30" s="162"/>
      <c r="G30" s="162">
        <v>150</v>
      </c>
      <c r="H30" s="162"/>
      <c r="I30" s="162">
        <v>250</v>
      </c>
      <c r="J30" s="162"/>
      <c r="K30" s="162">
        <v>670</v>
      </c>
      <c r="L30" s="163"/>
      <c r="M30" s="171">
        <v>15</v>
      </c>
      <c r="N30" s="162"/>
      <c r="O30" s="162">
        <v>150</v>
      </c>
      <c r="P30" s="162"/>
      <c r="Q30" s="162">
        <v>250</v>
      </c>
      <c r="R30" s="162"/>
      <c r="S30" s="162">
        <v>670</v>
      </c>
      <c r="T30" s="163"/>
    </row>
    <row r="31" spans="2:20" ht="15">
      <c r="B31" s="164" t="s">
        <v>50</v>
      </c>
      <c r="C31" s="165"/>
      <c r="D31" s="166"/>
      <c r="E31" s="42" t="s">
        <v>51</v>
      </c>
      <c r="F31" s="16" t="s">
        <v>52</v>
      </c>
      <c r="G31" s="16" t="s">
        <v>51</v>
      </c>
      <c r="H31" s="16" t="s">
        <v>52</v>
      </c>
      <c r="I31" s="16" t="s">
        <v>51</v>
      </c>
      <c r="J31" s="16" t="s">
        <v>52</v>
      </c>
      <c r="K31" s="16" t="s">
        <v>51</v>
      </c>
      <c r="L31" s="43" t="s">
        <v>52</v>
      </c>
      <c r="M31" s="42" t="s">
        <v>51</v>
      </c>
      <c r="N31" s="16" t="s">
        <v>52</v>
      </c>
      <c r="O31" s="16" t="s">
        <v>51</v>
      </c>
      <c r="P31" s="16" t="s">
        <v>52</v>
      </c>
      <c r="Q31" s="16" t="s">
        <v>51</v>
      </c>
      <c r="R31" s="16" t="s">
        <v>52</v>
      </c>
      <c r="S31" s="16" t="s">
        <v>51</v>
      </c>
      <c r="T31" s="43" t="s">
        <v>52</v>
      </c>
    </row>
    <row r="32" spans="2:20" ht="89.25">
      <c r="B32" s="42" t="s">
        <v>53</v>
      </c>
      <c r="C32" s="16" t="s">
        <v>54</v>
      </c>
      <c r="D32" s="43" t="s">
        <v>55</v>
      </c>
      <c r="E32" s="42" t="s">
        <v>228</v>
      </c>
      <c r="F32" s="16" t="s">
        <v>229</v>
      </c>
      <c r="G32" s="16" t="s">
        <v>228</v>
      </c>
      <c r="H32" s="16" t="s">
        <v>228</v>
      </c>
      <c r="I32" s="16" t="s">
        <v>228</v>
      </c>
      <c r="J32" s="16" t="s">
        <v>228</v>
      </c>
      <c r="K32" s="16" t="s">
        <v>228</v>
      </c>
      <c r="L32" s="43" t="s">
        <v>228</v>
      </c>
      <c r="M32" s="42" t="s">
        <v>228</v>
      </c>
      <c r="N32" s="16" t="s">
        <v>229</v>
      </c>
      <c r="O32" s="16" t="s">
        <v>228</v>
      </c>
      <c r="P32" s="16" t="s">
        <v>228</v>
      </c>
      <c r="Q32" s="16" t="s">
        <v>228</v>
      </c>
      <c r="R32" s="16" t="s">
        <v>228</v>
      </c>
      <c r="S32" s="16" t="s">
        <v>228</v>
      </c>
      <c r="T32" s="43" t="s">
        <v>228</v>
      </c>
    </row>
    <row r="33" spans="2:20" ht="15" customHeight="1">
      <c r="B33" s="164" t="s">
        <v>244</v>
      </c>
      <c r="C33" s="165"/>
      <c r="D33" s="166"/>
      <c r="E33" s="164" t="s">
        <v>243</v>
      </c>
      <c r="F33" s="165"/>
      <c r="G33" s="165"/>
      <c r="H33" s="165"/>
      <c r="I33" s="165"/>
      <c r="J33" s="165"/>
      <c r="K33" s="165"/>
      <c r="L33" s="166"/>
      <c r="M33" s="164" t="s">
        <v>245</v>
      </c>
      <c r="N33" s="165"/>
      <c r="O33" s="165"/>
      <c r="P33" s="165"/>
      <c r="Q33" s="165"/>
      <c r="R33" s="165"/>
      <c r="S33" s="165"/>
      <c r="T33" s="166"/>
    </row>
    <row r="34" spans="2:20" ht="15">
      <c r="B34" s="161" t="s">
        <v>226</v>
      </c>
      <c r="C34" s="172" t="s">
        <v>56</v>
      </c>
      <c r="D34" s="39" t="s">
        <v>57</v>
      </c>
      <c r="E34" s="154">
        <f>26921.2*1.2</f>
        <v>32305.44</v>
      </c>
      <c r="F34" s="179">
        <v>550</v>
      </c>
      <c r="G34" s="156">
        <f>26921.2*1.2</f>
        <v>32305.44</v>
      </c>
      <c r="H34" s="156">
        <f>26921.2*1.2</f>
        <v>32305.44</v>
      </c>
      <c r="I34" s="57">
        <f>(26921.2+2*(4204843.44*0.3)+5352.11*250)</f>
        <v>3887854.7640000004</v>
      </c>
      <c r="J34" s="57">
        <f>26921.2+(4204843.44*0.3)+5352.11*250</f>
        <v>2626401.732</v>
      </c>
      <c r="K34" s="57">
        <f>26921.2+2*(4204843.44*0.3)+5352.11*670</f>
        <v>6135740.964</v>
      </c>
      <c r="L34" s="45">
        <f>26921.2+(4204843.44*0.3)+5352.11*670</f>
        <v>4874287.932</v>
      </c>
      <c r="M34" s="44">
        <f>(375.98)*15</f>
        <v>5639.700000000001</v>
      </c>
      <c r="N34" s="156">
        <v>550</v>
      </c>
      <c r="O34" s="57">
        <f>(375.98)*150</f>
        <v>56397</v>
      </c>
      <c r="P34" s="57">
        <f aca="true" t="shared" si="0" ref="P34:P41">(375.98)*150</f>
        <v>56397</v>
      </c>
      <c r="Q34" s="57">
        <f>(375.98+2*9105.9*0.3+5438.15)*250</f>
        <v>2819417.5</v>
      </c>
      <c r="R34" s="57">
        <f>(375.98+9105.9*0.3+5438.15)*250</f>
        <v>2136475</v>
      </c>
      <c r="S34" s="57">
        <f>(375.98+2*9105.9*0.3+5438.15)*670</f>
        <v>7556038.9</v>
      </c>
      <c r="T34" s="45">
        <f>(375.98+9105.9*0.3+5438.15)*670</f>
        <v>5725753</v>
      </c>
    </row>
    <row r="35" spans="2:20" ht="15">
      <c r="B35" s="161"/>
      <c r="C35" s="172"/>
      <c r="D35" s="39" t="s">
        <v>58</v>
      </c>
      <c r="E35" s="155"/>
      <c r="F35" s="180"/>
      <c r="G35" s="156"/>
      <c r="H35" s="156"/>
      <c r="I35" s="57">
        <f>(26921.2+2*(1049755.94*0.3)+5352.11*250)</f>
        <v>1994802.264</v>
      </c>
      <c r="J35" s="57">
        <f>26921.2+(1049755.94*0.3)+5352.11*250</f>
        <v>1679875.4819999998</v>
      </c>
      <c r="K35" s="57">
        <f>26921.2+2*(1049755*0.3)+5352.11*670</f>
        <v>4242687.899999999</v>
      </c>
      <c r="L35" s="45">
        <f>26921.2+(1049755*0.3)+5352.11*670</f>
        <v>3927761.4</v>
      </c>
      <c r="M35" s="44">
        <f>(375.98)*15</f>
        <v>5639.700000000001</v>
      </c>
      <c r="N35" s="167"/>
      <c r="O35" s="57">
        <f aca="true" t="shared" si="1" ref="O35:O41">(375.98)*150</f>
        <v>56397</v>
      </c>
      <c r="P35" s="57">
        <f t="shared" si="0"/>
        <v>56397</v>
      </c>
      <c r="Q35" s="57">
        <f>(375.98+2*2357.6*0.3+5438.15)*250</f>
        <v>1807172.5</v>
      </c>
      <c r="R35" s="57">
        <f>(375.98+2357.6*0.3+5438.15)*250</f>
        <v>1630352.5</v>
      </c>
      <c r="S35" s="57">
        <f>(375.98+2*2357.6*0.3+5438.15)*670</f>
        <v>4843222.3</v>
      </c>
      <c r="T35" s="45">
        <f>(375.98+2357.6*0.3+5438.15)*670</f>
        <v>4369344.7</v>
      </c>
    </row>
    <row r="36" spans="2:20" ht="15">
      <c r="B36" s="161"/>
      <c r="C36" s="172" t="s">
        <v>59</v>
      </c>
      <c r="D36" s="39" t="s">
        <v>57</v>
      </c>
      <c r="E36" s="154">
        <f>26921.2*1.2</f>
        <v>32305.44</v>
      </c>
      <c r="F36" s="179">
        <v>550</v>
      </c>
      <c r="G36" s="156">
        <f>26921.2*1.2</f>
        <v>32305.44</v>
      </c>
      <c r="H36" s="156">
        <f>26921.2*1.2</f>
        <v>32305.44</v>
      </c>
      <c r="I36" s="57">
        <f>26921.2+2*(4204843.44*0.3)</f>
        <v>2549827.2640000004</v>
      </c>
      <c r="J36" s="57">
        <f>26921.2+(4204843.44*0.3)</f>
        <v>1288374.232</v>
      </c>
      <c r="K36" s="57">
        <f>26921.2+2*(4204843.44*0.3)</f>
        <v>2549827.2640000004</v>
      </c>
      <c r="L36" s="45">
        <f>26921.2+(4204843.44*0.3)</f>
        <v>1288374.232</v>
      </c>
      <c r="M36" s="44">
        <f>(375.98)*15</f>
        <v>5639.700000000001</v>
      </c>
      <c r="N36" s="156">
        <v>550</v>
      </c>
      <c r="O36" s="57">
        <f t="shared" si="1"/>
        <v>56397</v>
      </c>
      <c r="P36" s="57">
        <f t="shared" si="0"/>
        <v>56397</v>
      </c>
      <c r="Q36" s="57">
        <f>(375.98+2*9105.9*0.3)*250</f>
        <v>1459880</v>
      </c>
      <c r="R36" s="57">
        <f>(375.98+9105.9*0.3)*250</f>
        <v>776937.5</v>
      </c>
      <c r="S36" s="57">
        <f>(375.98+2*9105.9*0.3)*670</f>
        <v>3912478.4000000004</v>
      </c>
      <c r="T36" s="45">
        <f>(375.98+9105.9*0.3)*670</f>
        <v>2082192.5</v>
      </c>
    </row>
    <row r="37" spans="2:20" ht="15">
      <c r="B37" s="161"/>
      <c r="C37" s="172"/>
      <c r="D37" s="39" t="s">
        <v>58</v>
      </c>
      <c r="E37" s="155"/>
      <c r="F37" s="179"/>
      <c r="G37" s="156"/>
      <c r="H37" s="156"/>
      <c r="I37" s="57">
        <f>26921.2+2*(1049755*0.3)</f>
        <v>656774.2</v>
      </c>
      <c r="J37" s="57">
        <f>26921.2+(1049755*0.3)</f>
        <v>341847.7</v>
      </c>
      <c r="K37" s="57">
        <f>26921.2+2*(1049755*0.3)</f>
        <v>656774.2</v>
      </c>
      <c r="L37" s="45">
        <f>26921.2+(1049755*0.3)</f>
        <v>341847.7</v>
      </c>
      <c r="M37" s="44">
        <f>(375.98)*15</f>
        <v>5639.700000000001</v>
      </c>
      <c r="N37" s="156"/>
      <c r="O37" s="57">
        <f t="shared" si="1"/>
        <v>56397</v>
      </c>
      <c r="P37" s="57">
        <f t="shared" si="0"/>
        <v>56397</v>
      </c>
      <c r="Q37" s="57">
        <f>(375.98+2*2357.6*0.3)*250</f>
        <v>447635</v>
      </c>
      <c r="R37" s="57">
        <f>(375.98+2357.6*0.3)*250</f>
        <v>270815</v>
      </c>
      <c r="S37" s="57">
        <f>(375.98+2*2357.6*0.3)*670</f>
        <v>1199661.8</v>
      </c>
      <c r="T37" s="45">
        <f>(375.98+2357.6*0.3)*670</f>
        <v>725784.2</v>
      </c>
    </row>
    <row r="38" spans="2:20" ht="15">
      <c r="B38" s="161" t="s">
        <v>227</v>
      </c>
      <c r="C38" s="172" t="s">
        <v>56</v>
      </c>
      <c r="D38" s="39" t="s">
        <v>57</v>
      </c>
      <c r="E38" s="154">
        <f>26921.2*1.2</f>
        <v>32305.44</v>
      </c>
      <c r="F38" s="179">
        <v>550</v>
      </c>
      <c r="G38" s="156">
        <f>26921.2*1.2</f>
        <v>32305.44</v>
      </c>
      <c r="H38" s="156">
        <f>26921.2*1.2</f>
        <v>32305.44</v>
      </c>
      <c r="I38" s="57">
        <f>26921.2+2*(4204843.44*0.5)+5352.11*250</f>
        <v>5569792.140000001</v>
      </c>
      <c r="J38" s="57">
        <f>26921.2+(4204843.44*0.5)+5352.11*250</f>
        <v>3467370.4200000004</v>
      </c>
      <c r="K38" s="57">
        <f>26921.2+2*(4204843.44*0.5)+5352.11*670</f>
        <v>7817678.34</v>
      </c>
      <c r="L38" s="45">
        <f>26921.2+(4204843.44*0.5)+5352.11*670</f>
        <v>5715256.62</v>
      </c>
      <c r="M38" s="44">
        <f>(375.98)*15</f>
        <v>5639.700000000001</v>
      </c>
      <c r="N38" s="156">
        <v>550</v>
      </c>
      <c r="O38" s="57">
        <f t="shared" si="1"/>
        <v>56397</v>
      </c>
      <c r="P38" s="57">
        <f t="shared" si="0"/>
        <v>56397</v>
      </c>
      <c r="Q38" s="57">
        <f>(375.98+2*14006.07*0.5+3757.9)*250</f>
        <v>4534987.5</v>
      </c>
      <c r="R38" s="57">
        <f>(375.98+14006.07*0.5+3757.9)*250</f>
        <v>2784228.7499999995</v>
      </c>
      <c r="S38" s="57">
        <f>(375.98+2*14006.07*0.5+3757.9)*650</f>
        <v>11790967.5</v>
      </c>
      <c r="T38" s="45">
        <f>(375.98+14006.07*0.5+3757.9)*670</f>
        <v>7461733.05</v>
      </c>
    </row>
    <row r="39" spans="2:20" ht="15">
      <c r="B39" s="161"/>
      <c r="C39" s="172"/>
      <c r="D39" s="39" t="s">
        <v>58</v>
      </c>
      <c r="E39" s="155"/>
      <c r="F39" s="179"/>
      <c r="G39" s="156"/>
      <c r="H39" s="156"/>
      <c r="I39" s="57">
        <f>26921.2+2*(1049755.94*0.5)+5352.11*250</f>
        <v>2414704.6399999997</v>
      </c>
      <c r="J39" s="57">
        <f>26921.2+(1049755.94*0.5)+5352.11*250</f>
        <v>1889826.67</v>
      </c>
      <c r="K39" s="57">
        <f>26921.2+2*(1049755.94*0.5)+5352.11*670</f>
        <v>4662590.84</v>
      </c>
      <c r="L39" s="45">
        <f>26921.2+(1049755.94*0.5)+5352.11*670</f>
        <v>4137712.8699999996</v>
      </c>
      <c r="M39" s="44">
        <f>(375.98)*15</f>
        <v>5639.700000000001</v>
      </c>
      <c r="N39" s="156"/>
      <c r="O39" s="57">
        <f t="shared" si="1"/>
        <v>56397</v>
      </c>
      <c r="P39" s="57">
        <f t="shared" si="0"/>
        <v>56397</v>
      </c>
      <c r="Q39" s="57">
        <f>(375.98+2*10046.6*0.5+3757.9)*250</f>
        <v>3545120</v>
      </c>
      <c r="R39" s="57">
        <f>(375.98+10046.6*0.5+3757.9)*250</f>
        <v>2289295</v>
      </c>
      <c r="S39" s="57">
        <f>(375.98+2*10046.6*0.5+3757.9)*670</f>
        <v>9500921.6</v>
      </c>
      <c r="T39" s="45">
        <f>(375.98+10046.6*0.5+3757.9)*670</f>
        <v>6135310.600000001</v>
      </c>
    </row>
    <row r="40" spans="2:20" ht="15">
      <c r="B40" s="161"/>
      <c r="C40" s="172" t="s">
        <v>59</v>
      </c>
      <c r="D40" s="39" t="s">
        <v>57</v>
      </c>
      <c r="E40" s="154">
        <f>26921.2*1.2</f>
        <v>32305.44</v>
      </c>
      <c r="F40" s="179">
        <v>550</v>
      </c>
      <c r="G40" s="156">
        <f>26921.2*1.2</f>
        <v>32305.44</v>
      </c>
      <c r="H40" s="156">
        <f>26921.2*1.2</f>
        <v>32305.44</v>
      </c>
      <c r="I40" s="57">
        <f>26921.2+2*(4204843.44*0.5)</f>
        <v>4231764.640000001</v>
      </c>
      <c r="J40" s="57">
        <f>26921.2+(4204843.44*0.5)</f>
        <v>2129342.9200000004</v>
      </c>
      <c r="K40" s="57">
        <f>26921.2+2*(4204843.44*0.5)</f>
        <v>4231764.640000001</v>
      </c>
      <c r="L40" s="45">
        <f>26921.2+(4204843.44*0.5)</f>
        <v>2129342.9200000004</v>
      </c>
      <c r="M40" s="44">
        <f>(375.98)*15</f>
        <v>5639.700000000001</v>
      </c>
      <c r="N40" s="156">
        <v>550</v>
      </c>
      <c r="O40" s="57">
        <f t="shared" si="1"/>
        <v>56397</v>
      </c>
      <c r="P40" s="57">
        <f t="shared" si="0"/>
        <v>56397</v>
      </c>
      <c r="Q40" s="57">
        <f>(375.98+2*14006.07*0.5)*250</f>
        <v>3595512.5</v>
      </c>
      <c r="R40" s="57">
        <f>(375.98+14006.07*0.5)*250</f>
        <v>1844753.7499999998</v>
      </c>
      <c r="S40" s="57">
        <f>(375.98+2*14006.07*0.5)*670</f>
        <v>9635973.5</v>
      </c>
      <c r="T40" s="45">
        <f>(375.98+14006.07*0.5)*670</f>
        <v>4943940.05</v>
      </c>
    </row>
    <row r="41" spans="2:20" ht="15">
      <c r="B41" s="161"/>
      <c r="C41" s="172"/>
      <c r="D41" s="39" t="s">
        <v>58</v>
      </c>
      <c r="E41" s="155"/>
      <c r="F41" s="179"/>
      <c r="G41" s="156"/>
      <c r="H41" s="156"/>
      <c r="I41" s="57">
        <f>26921.2+2*(1049755.94*0.5)</f>
        <v>1076677.14</v>
      </c>
      <c r="J41" s="57">
        <f>26921.2+(1049755.94*0.5)</f>
        <v>551799.1699999999</v>
      </c>
      <c r="K41" s="57">
        <f>26921.2+2*(1049755.94*0.5)</f>
        <v>1076677.14</v>
      </c>
      <c r="L41" s="45">
        <f>26921.2+(1049755.94*0.5)</f>
        <v>551799.1699999999</v>
      </c>
      <c r="M41" s="44">
        <f>(375.98)*15</f>
        <v>5639.700000000001</v>
      </c>
      <c r="N41" s="156"/>
      <c r="O41" s="57">
        <f t="shared" si="1"/>
        <v>56397</v>
      </c>
      <c r="P41" s="57">
        <f t="shared" si="0"/>
        <v>56397</v>
      </c>
      <c r="Q41" s="57">
        <f>(375.98+2*10046.6*0.5)*250</f>
        <v>2605645</v>
      </c>
      <c r="R41" s="57">
        <f>(375.98+10046.6*0.5)*250</f>
        <v>1349820.0000000002</v>
      </c>
      <c r="S41" s="57">
        <f>(375.98+2*10046.6*0.5)*670</f>
        <v>6983128.6</v>
      </c>
      <c r="T41" s="45">
        <f>(375.98+10046.6*0.5)*670</f>
        <v>3617517.6000000006</v>
      </c>
    </row>
    <row r="42" spans="2:20" ht="15">
      <c r="B42" s="157">
        <v>750</v>
      </c>
      <c r="C42" s="159" t="s">
        <v>56</v>
      </c>
      <c r="D42" s="40" t="s">
        <v>57</v>
      </c>
      <c r="E42" s="46">
        <f>26921.2+2*(4204843.44*0.75)+5352.11*15</f>
        <v>6414468.010000001</v>
      </c>
      <c r="F42" s="25">
        <f>26921.2+(4204843.44*0.75)+5352.11*15</f>
        <v>3260835.43</v>
      </c>
      <c r="G42" s="25">
        <f>26921.2+2*(4204843.44*0.75)+5352.11*150</f>
        <v>7137002.86</v>
      </c>
      <c r="H42" s="25">
        <f>26921.2+(4204843.44*0.75)+5352.11*150</f>
        <v>3983370.2800000003</v>
      </c>
      <c r="I42" s="25">
        <f>26921.2+2*(4204843.44*0.75)+5352.11*250</f>
        <v>7672213.86</v>
      </c>
      <c r="J42" s="25">
        <f>26921.2+(4204843.44*0.75)+5352.11*250</f>
        <v>4518581.28</v>
      </c>
      <c r="K42" s="25">
        <f>26921.2+2*(4204843.44*0.75)+5352.11*670</f>
        <v>9920100.06</v>
      </c>
      <c r="L42" s="47">
        <f>26921.2+(4204843.44*0.75)+5352.11*670</f>
        <v>6766467.48</v>
      </c>
      <c r="M42" s="46">
        <f>375.98*15+2*(4204843.44*0.75)+5352.11*15</f>
        <v>6393186.510000001</v>
      </c>
      <c r="N42" s="25">
        <f>375.98*15+(4204843.44*0.75)+5352.11*15</f>
        <v>3239553.93</v>
      </c>
      <c r="O42" s="25">
        <f>375.98*150+2*(4204843.44*0.75)+5352.11*150</f>
        <v>7166478.66</v>
      </c>
      <c r="P42" s="25">
        <f>375.98*150+(4204843.44*0.75)+5352.11*150</f>
        <v>4012846.08</v>
      </c>
      <c r="Q42" s="25">
        <f>375.98*250+2*(4204843.44*0.75)+5352.11*250</f>
        <v>7739287.66</v>
      </c>
      <c r="R42" s="25">
        <f>375.98*250+(4204843.44*0.75)+5352.11*250</f>
        <v>4585655.08</v>
      </c>
      <c r="S42" s="25">
        <f>375.98*670+2*(4204843.44*0.75)+5352.11*670</f>
        <v>10145085.459999999</v>
      </c>
      <c r="T42" s="47">
        <f>375.98*670+(4204843.44*0.75)+5352.11*670</f>
        <v>6991452.88</v>
      </c>
    </row>
    <row r="43" spans="2:20" ht="15">
      <c r="B43" s="157"/>
      <c r="C43" s="159"/>
      <c r="D43" s="40" t="s">
        <v>58</v>
      </c>
      <c r="E43" s="46">
        <f>26921.2+2*(1049755.94*0.75)+5352.11*15</f>
        <v>1681836.7599999998</v>
      </c>
      <c r="F43" s="25">
        <f>26921.2+(1049755.94*0.75)+5352.11*15</f>
        <v>894519.8049999999</v>
      </c>
      <c r="G43" s="25">
        <f>26921.2+2*(1049755.94*0.75)+5352.11*150</f>
        <v>2404371.61</v>
      </c>
      <c r="H43" s="25">
        <f>26921.2+(1049755.94*0.75)+5352.11*150</f>
        <v>1617054.6549999998</v>
      </c>
      <c r="I43" s="25">
        <f>26921.2+2*(1049755.94*0.75)+5352.11*250</f>
        <v>2939582.61</v>
      </c>
      <c r="J43" s="25">
        <f>26921.2+(1049755.94*0.75)+5352.11*250</f>
        <v>2152265.655</v>
      </c>
      <c r="K43" s="25">
        <f>26921.2+2*(1049755.94*0.75)+5352.11*670</f>
        <v>5187468.81</v>
      </c>
      <c r="L43" s="47">
        <f>26921.2+(1049755.94*0.75)+5352.11*670</f>
        <v>4400151.8549999995</v>
      </c>
      <c r="M43" s="46">
        <f>375.98*15+2*(1049755.94*0.75)+5352.11*15</f>
        <v>1660555.2599999998</v>
      </c>
      <c r="N43" s="25">
        <f>375.98*15+(1049755.94*0.75)+5352.11*15</f>
        <v>873238.3049999999</v>
      </c>
      <c r="O43" s="25">
        <f>375.98*150+2*(1049755.94*0.75)+5352.11*150</f>
        <v>2433847.41</v>
      </c>
      <c r="P43" s="25">
        <f>375.98*150+(1049755.94*0.75)+5352.11*150</f>
        <v>1646530.455</v>
      </c>
      <c r="Q43" s="25">
        <f>375.98*250+2*(1049755.94*0.75)+5352.11*250</f>
        <v>3006656.41</v>
      </c>
      <c r="R43" s="25">
        <f>375.98*250+(1049755.94*0.75)+5352.11*250</f>
        <v>2219339.455</v>
      </c>
      <c r="S43" s="25">
        <f>375.98*670+2*(1049755.94*0.75)+5352.11*670</f>
        <v>5412454.21</v>
      </c>
      <c r="T43" s="47">
        <f>375.98*670+(1049755.94*0.75)+5352.11*670</f>
        <v>4625137.255</v>
      </c>
    </row>
    <row r="44" spans="2:20" ht="15">
      <c r="B44" s="157"/>
      <c r="C44" s="159" t="s">
        <v>59</v>
      </c>
      <c r="D44" s="40" t="s">
        <v>57</v>
      </c>
      <c r="E44" s="46">
        <f>26921.2+2*(4204843.44*0.75)</f>
        <v>6334186.36</v>
      </c>
      <c r="F44" s="25">
        <f>26921.2+(4204843.44*0.75)</f>
        <v>3180553.7800000003</v>
      </c>
      <c r="G44" s="25">
        <f>26921.2+2*(4204843.44*0.75)</f>
        <v>6334186.36</v>
      </c>
      <c r="H44" s="25">
        <f>26921.2+(4204843.44*0.75)</f>
        <v>3180553.7800000003</v>
      </c>
      <c r="I44" s="25">
        <f>26921.2+2*(4204843.44*0.75)</f>
        <v>6334186.36</v>
      </c>
      <c r="J44" s="25">
        <f>26921.2+(4204843.44*0.75)</f>
        <v>3180553.7800000003</v>
      </c>
      <c r="K44" s="25">
        <f>26921.2+2*(4204843.44*0.75)</f>
        <v>6334186.36</v>
      </c>
      <c r="L44" s="47">
        <f>26921.2+(4204843.44*0.75)</f>
        <v>3180553.7800000003</v>
      </c>
      <c r="M44" s="46">
        <f>375.98*15+2*(4204843.44*0.75)</f>
        <v>6312904.86</v>
      </c>
      <c r="N44" s="25">
        <f>375.98*15+(4204843.44*0.75)</f>
        <v>3159272.2800000003</v>
      </c>
      <c r="O44" s="25">
        <f>375.98*150+2*(4204843.44*0.75)</f>
        <v>6363662.16</v>
      </c>
      <c r="P44" s="25">
        <f>375.98*150+(4204843.44*0.75)</f>
        <v>3210029.58</v>
      </c>
      <c r="Q44" s="25">
        <f>375.98*250+2*(4204843.44*0.75)</f>
        <v>6401260.16</v>
      </c>
      <c r="R44" s="25">
        <f>375.98*250+(4204843.44*0.75)</f>
        <v>3247627.58</v>
      </c>
      <c r="S44" s="25">
        <f>375.98*670+2*(4204843.44*0.75)</f>
        <v>6559171.76</v>
      </c>
      <c r="T44" s="47">
        <f>375.98*670+(4204843.44*0.75)</f>
        <v>3405539.18</v>
      </c>
    </row>
    <row r="45" spans="2:20" ht="15">
      <c r="B45" s="157"/>
      <c r="C45" s="159"/>
      <c r="D45" s="40" t="s">
        <v>58</v>
      </c>
      <c r="E45" s="46">
        <f>26921.2+2*(1049755.94*0.75)</f>
        <v>1601555.1099999999</v>
      </c>
      <c r="F45" s="25">
        <f>26921.2+(1049755.94*0.75)</f>
        <v>814238.1549999999</v>
      </c>
      <c r="G45" s="25">
        <f>26921.2+2*(1049755.94*0.75)</f>
        <v>1601555.1099999999</v>
      </c>
      <c r="H45" s="25">
        <f>26921.2+(1049755.94*0.75)</f>
        <v>814238.1549999999</v>
      </c>
      <c r="I45" s="25">
        <f>26921.2+2*(1049755.94*0.75)</f>
        <v>1601555.1099999999</v>
      </c>
      <c r="J45" s="25">
        <f>26921.2+(1049755.94*0.75)</f>
        <v>814238.1549999999</v>
      </c>
      <c r="K45" s="25">
        <f>26921.2+2*(1049755.94*0.75)</f>
        <v>1601555.1099999999</v>
      </c>
      <c r="L45" s="47">
        <f>26921.2+(1049755.94*0.75)</f>
        <v>814238.1549999999</v>
      </c>
      <c r="M45" s="46">
        <f>375.98*15+2*(1049755.94*0.75)</f>
        <v>1580273.6099999999</v>
      </c>
      <c r="N45" s="25">
        <f>375.98*15+(1049755.94*0.75)</f>
        <v>792956.6549999999</v>
      </c>
      <c r="O45" s="25">
        <f>375.98*150+2*(1049755.94*0.75)</f>
        <v>1631030.91</v>
      </c>
      <c r="P45" s="25">
        <f>375.98*150+(1049755.94*0.75)</f>
        <v>843713.955</v>
      </c>
      <c r="Q45" s="25">
        <f>375.98*250+2*(1049755.94*0.75)</f>
        <v>1668628.91</v>
      </c>
      <c r="R45" s="25">
        <f>375.98*250+(1049755.94*0.75)</f>
        <v>881311.955</v>
      </c>
      <c r="S45" s="25">
        <f>375.98*670+2*(1049755.94*0.75)</f>
        <v>1826540.51</v>
      </c>
      <c r="T45" s="47">
        <f>375.98*670+(1049755.94*0.75)</f>
        <v>1039223.5549999999</v>
      </c>
    </row>
    <row r="46" spans="2:20" ht="15">
      <c r="B46" s="157">
        <v>1000</v>
      </c>
      <c r="C46" s="159" t="s">
        <v>56</v>
      </c>
      <c r="D46" s="40" t="s">
        <v>57</v>
      </c>
      <c r="E46" s="46">
        <f>26921.2+2*(4204843.44*1)+5352.11*15</f>
        <v>8516889.73</v>
      </c>
      <c r="F46" s="25">
        <f>26921.2+(4204843.44*1)+5352.11*15</f>
        <v>4312046.290000001</v>
      </c>
      <c r="G46" s="25">
        <f>26921.2+2*(4204843.44*1)+5352.11*150</f>
        <v>9239424.58</v>
      </c>
      <c r="H46" s="25">
        <f>26921.2+(4204843.44*1)+5352.11*150</f>
        <v>5034581.140000001</v>
      </c>
      <c r="I46" s="25">
        <f>26921.2+2*(4204843.44*1)+5352.11*250</f>
        <v>9774635.58</v>
      </c>
      <c r="J46" s="25">
        <f>26921.2+(4204843.44*1)+5352.11*250</f>
        <v>5569792.140000001</v>
      </c>
      <c r="K46" s="25">
        <f>26921.2+2*(4204843.44*1)+5352.11*670</f>
        <v>12022521.78</v>
      </c>
      <c r="L46" s="47">
        <f>26921.2+(4204843.44*1)+5352.11*670</f>
        <v>7817678.34</v>
      </c>
      <c r="M46" s="46">
        <f>375.98*15+2*(4204843.44*1)+5352.11*15</f>
        <v>8495608.23</v>
      </c>
      <c r="N46" s="25">
        <f>375.98*15+(4204843.44*1)+5352.11*15</f>
        <v>4290764.790000001</v>
      </c>
      <c r="O46" s="25">
        <f>375.98*150+2*(4204843.44*1)+5352.11*150</f>
        <v>9268900.38</v>
      </c>
      <c r="P46" s="25">
        <f>375.98*150+(4204843.44*1)+5352.11*150</f>
        <v>5064056.94</v>
      </c>
      <c r="Q46" s="25">
        <f>375.98*250+2*(4204843.44*1)+5352.11*250</f>
        <v>9841709.38</v>
      </c>
      <c r="R46" s="25">
        <f>375.98*250+(4204843.44*1)+5352.11*250</f>
        <v>5636865.94</v>
      </c>
      <c r="S46" s="25">
        <f>375.98*670+2*(4204843.44*1)+5352.11*670</f>
        <v>12247507.18</v>
      </c>
      <c r="T46" s="47">
        <f>375.98*670+(4204843.44*1)+5352.11*670</f>
        <v>8042663.74</v>
      </c>
    </row>
    <row r="47" spans="2:20" ht="15">
      <c r="B47" s="157"/>
      <c r="C47" s="159"/>
      <c r="D47" s="40" t="s">
        <v>58</v>
      </c>
      <c r="E47" s="46">
        <f>26921.2+2*(1049755.94*1)+5352.11*15</f>
        <v>2206714.73</v>
      </c>
      <c r="F47" s="25">
        <f>26921.2+(1049755.94*1)+5352.11*15</f>
        <v>1156958.7899999998</v>
      </c>
      <c r="G47" s="25">
        <f>26921.2+2*(1049755.94*1)+5352.11*150</f>
        <v>2929249.58</v>
      </c>
      <c r="H47" s="25">
        <f>26921.2+(1049755.94*1)+5352.11*150</f>
        <v>1879493.64</v>
      </c>
      <c r="I47" s="25">
        <f>26921.2+2*(1049755.94*1)+5352.11*250</f>
        <v>3464460.58</v>
      </c>
      <c r="J47" s="25">
        <f>26921.2+(1049755.94*1)+5352.11*250</f>
        <v>2414704.6399999997</v>
      </c>
      <c r="K47" s="25">
        <f>26921.2+2*(1049755.94*1)+5352.11*670</f>
        <v>5712346.779999999</v>
      </c>
      <c r="L47" s="47">
        <f>26921.2+(1049755.94*1)+5352.11*670</f>
        <v>4662590.84</v>
      </c>
      <c r="M47" s="46">
        <f>375.98*15+2*(1049755.94*1)+5352.11*15</f>
        <v>2185433.23</v>
      </c>
      <c r="N47" s="25">
        <f>375.98*15+(1049755.94*1)+5352.11*15</f>
        <v>1135677.2899999998</v>
      </c>
      <c r="O47" s="25">
        <f>375.98*150+2*(1049755.94*1)+5352.11*150</f>
        <v>2958725.38</v>
      </c>
      <c r="P47" s="25">
        <f>375.98*150+(1049755.94*1)+5352.11*150</f>
        <v>1908969.44</v>
      </c>
      <c r="Q47" s="25">
        <f>375.98*250+2*(1049755.94*1)+5352.11*250</f>
        <v>3531534.38</v>
      </c>
      <c r="R47" s="25">
        <f>375.98*250+(1049755.94*1)+5352.11*250</f>
        <v>2481778.44</v>
      </c>
      <c r="S47" s="25">
        <f>375.98*670+2*(1049755.94*1)+5352.11*670</f>
        <v>5937332.18</v>
      </c>
      <c r="T47" s="47">
        <f>375.98*670+(1049755.94*1)+5352.11*670</f>
        <v>4887576.24</v>
      </c>
    </row>
    <row r="48" spans="2:20" ht="15">
      <c r="B48" s="157"/>
      <c r="C48" s="159" t="s">
        <v>59</v>
      </c>
      <c r="D48" s="40" t="s">
        <v>57</v>
      </c>
      <c r="E48" s="46">
        <f>26921.2+2*(4204843.44*1)</f>
        <v>8436608.08</v>
      </c>
      <c r="F48" s="25">
        <f>26921.2+(4204843.44*1)</f>
        <v>4231764.640000001</v>
      </c>
      <c r="G48" s="25">
        <f>26921.2+2*(4204843.44*1)</f>
        <v>8436608.08</v>
      </c>
      <c r="H48" s="25">
        <f>26921.2+(4204843.44*1)</f>
        <v>4231764.640000001</v>
      </c>
      <c r="I48" s="25">
        <f>26921.2+2*(4204843.44*1)</f>
        <v>8436608.08</v>
      </c>
      <c r="J48" s="25">
        <f>26921.2+(4204843.44*1)</f>
        <v>4231764.640000001</v>
      </c>
      <c r="K48" s="25">
        <f>26921.2+2*(4204843.44*1)</f>
        <v>8436608.08</v>
      </c>
      <c r="L48" s="47">
        <f>26921.2+(4204843.44*1)</f>
        <v>4231764.640000001</v>
      </c>
      <c r="M48" s="46">
        <f>375.98*15+2*(4204843.44*1)</f>
        <v>8415326.58</v>
      </c>
      <c r="N48" s="25">
        <f>375.98*15+(4204843.44*1)</f>
        <v>4210483.140000001</v>
      </c>
      <c r="O48" s="25">
        <f>375.98*150+2*(4204843.44*1)</f>
        <v>8466083.88</v>
      </c>
      <c r="P48" s="25">
        <f>375.98*150+(4204843.44*1)</f>
        <v>4261240.44</v>
      </c>
      <c r="Q48" s="25">
        <f>375.98*250+2*(4204843.44*1)</f>
        <v>8503681.88</v>
      </c>
      <c r="R48" s="25">
        <f>375.98*250+(4204843.44*1)</f>
        <v>4298838.44</v>
      </c>
      <c r="S48" s="25">
        <f>375.98*670+2*(4204843.44*1)</f>
        <v>8661593.48</v>
      </c>
      <c r="T48" s="47">
        <f>375.98*670+(4204843.44*1)</f>
        <v>4456750.04</v>
      </c>
    </row>
    <row r="49" spans="2:20" ht="15">
      <c r="B49" s="157"/>
      <c r="C49" s="159"/>
      <c r="D49" s="40" t="s">
        <v>58</v>
      </c>
      <c r="E49" s="46">
        <f>26921.2+2*(1049755.94*1)</f>
        <v>2126433.08</v>
      </c>
      <c r="F49" s="25">
        <f>26921.2+(1049755.94*1)</f>
        <v>1076677.14</v>
      </c>
      <c r="G49" s="25">
        <f>26921.2+2*(1049755.94*1)</f>
        <v>2126433.08</v>
      </c>
      <c r="H49" s="25">
        <f>26921.2+(1049755.94*1)</f>
        <v>1076677.14</v>
      </c>
      <c r="I49" s="25">
        <f>26921.2+2*(1049755.94*1)</f>
        <v>2126433.08</v>
      </c>
      <c r="J49" s="25">
        <f>26921.2+(1049755.94*1)</f>
        <v>1076677.14</v>
      </c>
      <c r="K49" s="25">
        <f>26921.2+2*(1049755.94*1)</f>
        <v>2126433.08</v>
      </c>
      <c r="L49" s="47">
        <f>26921.2+(1049755.94*1)</f>
        <v>1076677.14</v>
      </c>
      <c r="M49" s="46">
        <f>375.98*15+2*(1049755.94*1)</f>
        <v>2105151.58</v>
      </c>
      <c r="N49" s="25">
        <f>375.98*15+(1049755.94*1)</f>
        <v>1055395.64</v>
      </c>
      <c r="O49" s="25">
        <f>375.98*150+2*(1049755.94*1)</f>
        <v>2155908.88</v>
      </c>
      <c r="P49" s="25">
        <f>375.98*150+(1049755.94*1)</f>
        <v>1106152.94</v>
      </c>
      <c r="Q49" s="25">
        <f>375.98*250+2*(1049755.94*1)</f>
        <v>2193506.88</v>
      </c>
      <c r="R49" s="25">
        <f>375.98*250+(1049755.94*1)</f>
        <v>1143750.94</v>
      </c>
      <c r="S49" s="25">
        <f>375.98*670+2*(1049755.94*1)</f>
        <v>2351418.48</v>
      </c>
      <c r="T49" s="47">
        <f>375.98*670+(1049755.94*1)</f>
        <v>1301662.54</v>
      </c>
    </row>
    <row r="50" spans="2:20" ht="15">
      <c r="B50" s="157">
        <v>1250</v>
      </c>
      <c r="C50" s="159" t="s">
        <v>56</v>
      </c>
      <c r="D50" s="40" t="s">
        <v>57</v>
      </c>
      <c r="E50" s="46">
        <f>26921.2+2*(4204843.44*1.25)+5352.11*15</f>
        <v>10619311.450000001</v>
      </c>
      <c r="F50" s="25">
        <f>26921.2+(4204843.44*1.25)+5352.11*15</f>
        <v>5363257.150000001</v>
      </c>
      <c r="G50" s="25">
        <f>26921.2+2*(4204843.44*1.25)+5352.11*150</f>
        <v>11341846.3</v>
      </c>
      <c r="H50" s="25">
        <f>26921.2+(4204843.44*1.25)+5352.11*150</f>
        <v>6085792.000000001</v>
      </c>
      <c r="I50" s="25">
        <f>26921.2+2*(4204843.44*1.25)+5352.11*250</f>
        <v>11877057.3</v>
      </c>
      <c r="J50" s="25">
        <f>26921.2+(4204843.44*1.25)+5352.11*250</f>
        <v>6621003.000000001</v>
      </c>
      <c r="K50" s="25">
        <f>26921.2+2*(4204843.44*1.25)+5352.11*670</f>
        <v>14124943.5</v>
      </c>
      <c r="L50" s="47">
        <f>26921.2+(4204843.44*1.25)+5352.11*670</f>
        <v>8868889.200000001</v>
      </c>
      <c r="M50" s="46">
        <f>375.98*15+2*(4204843.44*1.25)+5352.11*15</f>
        <v>10598029.950000001</v>
      </c>
      <c r="N50" s="25">
        <f>375.98*15+(4204843.44*1.25)+5352.11*15</f>
        <v>5341975.650000001</v>
      </c>
      <c r="O50" s="25">
        <f>375.98*150+2*(4204843.44*1.25)+5352.11*150</f>
        <v>11371322.100000001</v>
      </c>
      <c r="P50" s="25">
        <f>375.98*150+(4204843.44*1.25)+5352.11*150</f>
        <v>6115267.800000001</v>
      </c>
      <c r="Q50" s="25">
        <f>375.98*250+2*(4204843.44*1.25)+5352.11*250</f>
        <v>11944131.100000001</v>
      </c>
      <c r="R50" s="25">
        <f>375.98*250+(4204843.44*1.25)+5352.11*250</f>
        <v>6688076.800000001</v>
      </c>
      <c r="S50" s="25">
        <f>375.98*670+2*(4204843.44*1.25)+5352.11*670</f>
        <v>14349928.9</v>
      </c>
      <c r="T50" s="47">
        <f>375.98*670+(4204843.44*1.25)+5352.11*670</f>
        <v>9093874.6</v>
      </c>
    </row>
    <row r="51" spans="2:20" ht="15">
      <c r="B51" s="157"/>
      <c r="C51" s="159"/>
      <c r="D51" s="40" t="s">
        <v>58</v>
      </c>
      <c r="E51" s="46">
        <f>26921.2+2*(1049755.94*1.25)+5352.11*15</f>
        <v>2731592.6999999997</v>
      </c>
      <c r="F51" s="25">
        <f>26921.2+(1049755.94*1.25)+5352.11*15</f>
        <v>1419397.7749999997</v>
      </c>
      <c r="G51" s="25">
        <f>26921.2+2*(1049755.94*1.25)+5352.11*150</f>
        <v>3454127.55</v>
      </c>
      <c r="H51" s="25">
        <f>26921.2+(1049755.94*1.25)+5352.11*150</f>
        <v>2141932.625</v>
      </c>
      <c r="I51" s="25">
        <f>26921.2+2*(1049755.94*1.25)+5352.11*250</f>
        <v>3989338.55</v>
      </c>
      <c r="J51" s="25">
        <f>26921.2+(1049755.94*1.25)+5352.11*250</f>
        <v>2677143.625</v>
      </c>
      <c r="K51" s="25">
        <f>26921.2+2*(1049755.94*1.25)+5352.11*670</f>
        <v>6237224.75</v>
      </c>
      <c r="L51" s="47">
        <f>26921.2+(1049755.94*1.25)+5352.11*670</f>
        <v>4925029.824999999</v>
      </c>
      <c r="M51" s="46">
        <f>375.98*15+2*(1049755.94*1.25)+5352.11*15</f>
        <v>2710311.1999999997</v>
      </c>
      <c r="N51" s="25">
        <f>375.98*15+(1049755.94*1.25)+5352.11*15</f>
        <v>1398116.2749999997</v>
      </c>
      <c r="O51" s="25">
        <f>375.98*150+2*(1049755.94*1.25)+5352.11*150</f>
        <v>3483603.3499999996</v>
      </c>
      <c r="P51" s="25">
        <f>375.98*150+(1049755.94*1.25)+5352.11*150</f>
        <v>2171408.425</v>
      </c>
      <c r="Q51" s="25">
        <f>375.98*250+2*(1049755.94*1.25)+5352.11*250</f>
        <v>4056412.3499999996</v>
      </c>
      <c r="R51" s="25">
        <f>375.98*250+(1049755.94*1.25)+5352.11*250</f>
        <v>2744217.425</v>
      </c>
      <c r="S51" s="25">
        <f>375.98*670+2*(1049755.94*1.25)+5352.11*670</f>
        <v>6462210.149999999</v>
      </c>
      <c r="T51" s="47">
        <f>375.98*670+(1049755.94*1.25)+5352.11*670</f>
        <v>5150015.225</v>
      </c>
    </row>
    <row r="52" spans="2:20" ht="15">
      <c r="B52" s="157"/>
      <c r="C52" s="159" t="s">
        <v>59</v>
      </c>
      <c r="D52" s="40" t="s">
        <v>57</v>
      </c>
      <c r="E52" s="46">
        <f>26921.2+2*(4204843.44*1.25)</f>
        <v>10539029.8</v>
      </c>
      <c r="F52" s="25">
        <f>26921.2+(4204843.44*1.25)</f>
        <v>5282975.500000001</v>
      </c>
      <c r="G52" s="25">
        <f>26921.2+2*(4204843.44*1.25)</f>
        <v>10539029.8</v>
      </c>
      <c r="H52" s="25">
        <f>26921.2+(4204843.44*1.25)</f>
        <v>5282975.500000001</v>
      </c>
      <c r="I52" s="25">
        <f>26921.2+2*(4204843.44*1.25)</f>
        <v>10539029.8</v>
      </c>
      <c r="J52" s="25">
        <f>26921.2+(4204843.44*1.25)</f>
        <v>5282975.500000001</v>
      </c>
      <c r="K52" s="25">
        <f>26921.2+2*(4204843.44*1.25)</f>
        <v>10539029.8</v>
      </c>
      <c r="L52" s="47">
        <f>26921.2+(4204843.44*1.25)</f>
        <v>5282975.500000001</v>
      </c>
      <c r="M52" s="46">
        <f>375.98*15+2*(4204843.44*1.25)</f>
        <v>10517748.3</v>
      </c>
      <c r="N52" s="25">
        <f>375.98*15+(4204843.44*1.25)</f>
        <v>5261694.000000001</v>
      </c>
      <c r="O52" s="25">
        <f>375.98*150+2*(4204843.44*1.25)</f>
        <v>10568505.600000001</v>
      </c>
      <c r="P52" s="25">
        <f>375.98*150+(4204843.44*1.25)</f>
        <v>5312451.300000001</v>
      </c>
      <c r="Q52" s="25">
        <f>375.98*250+2*(4204843.44*1.25)</f>
        <v>10606103.600000001</v>
      </c>
      <c r="R52" s="25">
        <f>375.98*250+(4204843.44*1.25)</f>
        <v>5350049.300000001</v>
      </c>
      <c r="S52" s="25">
        <f>375.98*670+2*(4204843.44*1.25)</f>
        <v>10764015.200000001</v>
      </c>
      <c r="T52" s="47">
        <f>375.98*670+(4204843.44*1.25)</f>
        <v>5507960.9</v>
      </c>
    </row>
    <row r="53" spans="2:20" ht="15.75" thickBot="1">
      <c r="B53" s="158"/>
      <c r="C53" s="160"/>
      <c r="D53" s="41" t="s">
        <v>58</v>
      </c>
      <c r="E53" s="48">
        <f>26921.2+2*(1049755.94*1.25)</f>
        <v>2651311.05</v>
      </c>
      <c r="F53" s="49">
        <f>26921.2+(1049755.94*1.25)</f>
        <v>1339116.1249999998</v>
      </c>
      <c r="G53" s="49">
        <f>26921.2+2*(1049755.94*1.25)</f>
        <v>2651311.05</v>
      </c>
      <c r="H53" s="49">
        <f>26921.2+(1049755.94*1.25)</f>
        <v>1339116.1249999998</v>
      </c>
      <c r="I53" s="49">
        <f>26921.2+2*(1049755.94*1.25)</f>
        <v>2651311.05</v>
      </c>
      <c r="J53" s="49">
        <f>26921.2+(1049755.94*1.25)</f>
        <v>1339116.1249999998</v>
      </c>
      <c r="K53" s="49">
        <f>26921.2+2*(1049755.94*1.25)</f>
        <v>2651311.05</v>
      </c>
      <c r="L53" s="50">
        <f>26921.2+(1049755.94*1.25)</f>
        <v>1339116.1249999998</v>
      </c>
      <c r="M53" s="48">
        <f>375.98*15+2*(1049755.94*1.25)</f>
        <v>2630029.55</v>
      </c>
      <c r="N53" s="49">
        <f>375.98*15+(1049755.94*1.25)</f>
        <v>1317834.6249999998</v>
      </c>
      <c r="O53" s="49">
        <f>375.98*150+2*(1049755.94*1.25)</f>
        <v>2680786.8499999996</v>
      </c>
      <c r="P53" s="49">
        <f>375.98*150+(1049755.94*1.25)</f>
        <v>1368591.9249999998</v>
      </c>
      <c r="Q53" s="49">
        <f>375.98*250+2*(1049755.94*1.25)</f>
        <v>2718384.8499999996</v>
      </c>
      <c r="R53" s="49">
        <f>375.98*250+(1049755.94*1.25)</f>
        <v>1406189.9249999998</v>
      </c>
      <c r="S53" s="49">
        <f>375.98*670+2*(1049755.94*1.25)</f>
        <v>2876296.4499999997</v>
      </c>
      <c r="T53" s="50">
        <f>375.98*670+(1049755.94*1.25)</f>
        <v>1564101.525</v>
      </c>
    </row>
    <row r="55" spans="2:20" ht="31.5" customHeight="1">
      <c r="B55" s="153" t="s">
        <v>260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</row>
  </sheetData>
  <sheetProtection/>
  <mergeCells count="69">
    <mergeCell ref="F34:F35"/>
    <mergeCell ref="F36:F37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E34:E35"/>
    <mergeCell ref="E36:E37"/>
    <mergeCell ref="B46:B49"/>
    <mergeCell ref="C48:C49"/>
    <mergeCell ref="A28:R28"/>
    <mergeCell ref="A3:R3"/>
    <mergeCell ref="A4:R4"/>
    <mergeCell ref="A8:R8"/>
    <mergeCell ref="A5:R5"/>
    <mergeCell ref="A6:R6"/>
    <mergeCell ref="A7:R7"/>
    <mergeCell ref="A29:R29"/>
    <mergeCell ref="C46:C47"/>
    <mergeCell ref="B34:B37"/>
    <mergeCell ref="C34:C35"/>
    <mergeCell ref="C36:C37"/>
    <mergeCell ref="F40:F41"/>
    <mergeCell ref="F38:F39"/>
    <mergeCell ref="C38:C39"/>
    <mergeCell ref="C40:C41"/>
    <mergeCell ref="B42:B45"/>
    <mergeCell ref="C42:C43"/>
    <mergeCell ref="C44:C45"/>
    <mergeCell ref="R11:R13"/>
    <mergeCell ref="E33:L33"/>
    <mergeCell ref="B33:D33"/>
    <mergeCell ref="M30:N30"/>
    <mergeCell ref="O30:P30"/>
    <mergeCell ref="Q30:R30"/>
    <mergeCell ref="K30:L30"/>
    <mergeCell ref="B31:D31"/>
    <mergeCell ref="B30:D30"/>
    <mergeCell ref="E30:F30"/>
    <mergeCell ref="G30:H30"/>
    <mergeCell ref="I30:J30"/>
    <mergeCell ref="S30:T30"/>
    <mergeCell ref="M33:T33"/>
    <mergeCell ref="N34:N35"/>
    <mergeCell ref="N36:N37"/>
    <mergeCell ref="N38:N39"/>
    <mergeCell ref="B55:T55"/>
    <mergeCell ref="E38:E39"/>
    <mergeCell ref="E40:E41"/>
    <mergeCell ref="H34:H35"/>
    <mergeCell ref="H36:H37"/>
    <mergeCell ref="H38:H39"/>
    <mergeCell ref="H40:H41"/>
    <mergeCell ref="G34:G35"/>
    <mergeCell ref="G36:G37"/>
    <mergeCell ref="G38:G39"/>
    <mergeCell ref="G40:G41"/>
    <mergeCell ref="N40:N41"/>
    <mergeCell ref="B50:B53"/>
    <mergeCell ref="C50:C51"/>
    <mergeCell ref="C52:C53"/>
    <mergeCell ref="B38:B41"/>
  </mergeCells>
  <printOptions/>
  <pageMargins left="0.7" right="0.7" top="0.75" bottom="0.75" header="0.3" footer="0.3"/>
  <pageSetup horizontalDpi="180" verticalDpi="180" orientation="landscape" paperSize="9" scale="34" r:id="rId1"/>
  <rowBreaks count="1" manualBreakCount="1">
    <brk id="55" max="17" man="1"/>
  </rowBreaks>
  <ignoredErrors>
    <ignoredError sqref="J36:J41 F44:F53 G44:G53 H44:H53 K36:K41 I44:I53 J44:J53 K44:K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view="pageBreakPreview" zoomScale="70" zoomScaleSheetLayoutView="70" zoomScalePageLayoutView="0" workbookViewId="0" topLeftCell="A1">
      <selection activeCell="E2" sqref="E2"/>
    </sheetView>
  </sheetViews>
  <sheetFormatPr defaultColWidth="12.28125" defaultRowHeight="15"/>
  <cols>
    <col min="1" max="1" width="5.8515625" style="9" customWidth="1"/>
    <col min="2" max="2" width="27.00390625" style="6" customWidth="1"/>
    <col min="3" max="3" width="17.28125" style="6" customWidth="1"/>
    <col min="4" max="4" width="13.57421875" style="6" customWidth="1"/>
    <col min="5" max="5" width="16.140625" style="51" customWidth="1"/>
    <col min="6" max="6" width="9.421875" style="6" customWidth="1"/>
    <col min="7" max="7" width="17.00390625" style="6" customWidth="1"/>
    <col min="8" max="8" width="13.57421875" style="6" customWidth="1"/>
    <col min="9" max="9" width="10.00390625" style="6" customWidth="1"/>
    <col min="10" max="10" width="12.140625" style="6" customWidth="1"/>
    <col min="11" max="11" width="14.140625" style="6" customWidth="1"/>
    <col min="12" max="12" width="9.140625" style="6" customWidth="1"/>
    <col min="13" max="13" width="9.57421875" style="6" customWidth="1"/>
    <col min="14" max="14" width="10.7109375" style="6" customWidth="1"/>
    <col min="15" max="16384" width="12.28125" style="6" customWidth="1"/>
  </cols>
  <sheetData>
    <row r="1" spans="1:17" ht="15.75">
      <c r="A1" s="187" t="s">
        <v>223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7" ht="51" customHeight="1">
      <c r="A3" s="120" t="s">
        <v>130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5" customFormat="1" ht="15">
      <c r="A4" s="190" t="s">
        <v>132</v>
      </c>
      <c r="B4" s="188" t="s">
        <v>60</v>
      </c>
      <c r="C4" s="188" t="s">
        <v>61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5" customFormat="1" ht="36" customHeight="1">
      <c r="A5" s="190"/>
      <c r="B5" s="188"/>
      <c r="C5" s="189" t="s">
        <v>62</v>
      </c>
      <c r="D5" s="189"/>
      <c r="E5" s="189"/>
      <c r="F5" s="189" t="s">
        <v>264</v>
      </c>
      <c r="G5" s="189"/>
      <c r="H5" s="189"/>
      <c r="I5" s="189" t="s">
        <v>63</v>
      </c>
      <c r="J5" s="189"/>
      <c r="K5" s="189"/>
      <c r="L5" s="189" t="s">
        <v>64</v>
      </c>
      <c r="M5" s="189"/>
      <c r="N5" s="189"/>
      <c r="O5" s="189" t="s">
        <v>65</v>
      </c>
      <c r="P5" s="189"/>
      <c r="Q5" s="189"/>
    </row>
    <row r="6" spans="1:17" s="5" customFormat="1" ht="51.75" customHeight="1">
      <c r="A6" s="190"/>
      <c r="B6" s="188"/>
      <c r="C6" s="90" t="s">
        <v>3</v>
      </c>
      <c r="D6" s="90" t="s">
        <v>131</v>
      </c>
      <c r="E6" s="91" t="s">
        <v>5</v>
      </c>
      <c r="F6" s="90" t="s">
        <v>3</v>
      </c>
      <c r="G6" s="90" t="s">
        <v>131</v>
      </c>
      <c r="H6" s="90" t="s">
        <v>5</v>
      </c>
      <c r="I6" s="90" t="s">
        <v>3</v>
      </c>
      <c r="J6" s="90" t="s">
        <v>131</v>
      </c>
      <c r="K6" s="90" t="s">
        <v>5</v>
      </c>
      <c r="L6" s="90" t="s">
        <v>3</v>
      </c>
      <c r="M6" s="90" t="s">
        <v>131</v>
      </c>
      <c r="N6" s="90" t="s">
        <v>5</v>
      </c>
      <c r="O6" s="90" t="s">
        <v>3</v>
      </c>
      <c r="P6" s="90" t="s">
        <v>131</v>
      </c>
      <c r="Q6" s="90" t="s">
        <v>5</v>
      </c>
    </row>
    <row r="7" spans="1:17" s="5" customFormat="1" ht="13.5">
      <c r="A7" s="92">
        <v>1</v>
      </c>
      <c r="B7" s="90">
        <v>2</v>
      </c>
      <c r="C7" s="90">
        <v>3</v>
      </c>
      <c r="D7" s="90">
        <v>4</v>
      </c>
      <c r="E7" s="93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</row>
    <row r="8" spans="1:17" s="33" customFormat="1" ht="19.5" customHeight="1">
      <c r="A8" s="28">
        <v>1</v>
      </c>
      <c r="B8" s="32" t="s">
        <v>239</v>
      </c>
      <c r="C8" s="30">
        <f>SUM(C9:C14)</f>
        <v>4</v>
      </c>
      <c r="D8" s="30">
        <f>SUM(D9:D14)</f>
        <v>22</v>
      </c>
      <c r="E8" s="18">
        <f>(D8-C8)/C8*100</f>
        <v>450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30">
      <c r="A9" s="8" t="s">
        <v>133</v>
      </c>
      <c r="B9" s="10" t="s">
        <v>66</v>
      </c>
      <c r="C9" s="7">
        <v>0</v>
      </c>
      <c r="D9" s="7">
        <v>0</v>
      </c>
      <c r="E9" s="34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45">
      <c r="A10" s="8" t="s">
        <v>134</v>
      </c>
      <c r="B10" s="10" t="s">
        <v>67</v>
      </c>
      <c r="C10" s="7">
        <v>4</v>
      </c>
      <c r="D10" s="7">
        <v>22</v>
      </c>
      <c r="E10" s="18">
        <f>(D10-C10)/C10*100</f>
        <v>450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30">
      <c r="A11" s="8" t="s">
        <v>135</v>
      </c>
      <c r="B11" s="10" t="s">
        <v>68</v>
      </c>
      <c r="C11" s="7">
        <v>0</v>
      </c>
      <c r="D11" s="7">
        <v>0</v>
      </c>
      <c r="E11" s="34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15">
      <c r="A12" s="8" t="s">
        <v>136</v>
      </c>
      <c r="B12" s="10" t="s">
        <v>69</v>
      </c>
      <c r="C12" s="7">
        <v>0</v>
      </c>
      <c r="D12" s="7">
        <v>0</v>
      </c>
      <c r="E12" s="34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30">
      <c r="A13" s="8" t="s">
        <v>137</v>
      </c>
      <c r="B13" s="10" t="s">
        <v>70</v>
      </c>
      <c r="C13" s="7">
        <v>0</v>
      </c>
      <c r="D13" s="7">
        <v>0</v>
      </c>
      <c r="E13" s="34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>
      <c r="A14" s="8" t="s">
        <v>138</v>
      </c>
      <c r="B14" s="10" t="s">
        <v>71</v>
      </c>
      <c r="C14" s="7">
        <v>0</v>
      </c>
      <c r="D14" s="7">
        <v>0</v>
      </c>
      <c r="E14" s="34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s="31" customFormat="1" ht="17.25" customHeight="1">
      <c r="A15" s="28" t="s">
        <v>139</v>
      </c>
      <c r="B15" s="29" t="s">
        <v>240</v>
      </c>
      <c r="C15" s="30">
        <f>SUM(C16:C23)</f>
        <v>2</v>
      </c>
      <c r="D15" s="30">
        <f>SUM(D16:D23)</f>
        <v>4</v>
      </c>
      <c r="E15" s="18">
        <f>(D15-C15)/C15*100</f>
        <v>100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f>SUM(K16:K23)</f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45">
      <c r="A16" s="8" t="s">
        <v>140</v>
      </c>
      <c r="B16" s="10" t="s">
        <v>72</v>
      </c>
      <c r="C16" s="7">
        <v>0</v>
      </c>
      <c r="D16" s="7">
        <v>0</v>
      </c>
      <c r="E16" s="34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30">
      <c r="A17" s="8" t="s">
        <v>141</v>
      </c>
      <c r="B17" s="10" t="s">
        <v>73</v>
      </c>
      <c r="C17" s="7">
        <v>1</v>
      </c>
      <c r="D17" s="7">
        <v>4</v>
      </c>
      <c r="E17" s="18">
        <f>(D17-C17)/C17*100</f>
        <v>300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30">
      <c r="A18" s="8" t="s">
        <v>142</v>
      </c>
      <c r="B18" s="10" t="s">
        <v>74</v>
      </c>
      <c r="C18" s="7">
        <v>0</v>
      </c>
      <c r="D18" s="7">
        <v>0</v>
      </c>
      <c r="E18" s="34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45">
      <c r="A19" s="8" t="s">
        <v>143</v>
      </c>
      <c r="B19" s="10" t="s">
        <v>67</v>
      </c>
      <c r="C19" s="7">
        <v>0</v>
      </c>
      <c r="D19" s="7">
        <v>0</v>
      </c>
      <c r="E19" s="34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30">
      <c r="A20" s="8" t="s">
        <v>144</v>
      </c>
      <c r="B20" s="10" t="s">
        <v>68</v>
      </c>
      <c r="C20" s="7">
        <v>0</v>
      </c>
      <c r="D20" s="7">
        <v>0</v>
      </c>
      <c r="E20" s="34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>
      <c r="A21" s="8" t="s">
        <v>145</v>
      </c>
      <c r="B21" s="10" t="s">
        <v>69</v>
      </c>
      <c r="C21" s="7">
        <v>0</v>
      </c>
      <c r="D21" s="7">
        <v>0</v>
      </c>
      <c r="E21" s="34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45">
      <c r="A22" s="8" t="s">
        <v>146</v>
      </c>
      <c r="B22" s="10" t="s">
        <v>75</v>
      </c>
      <c r="C22" s="7">
        <v>0</v>
      </c>
      <c r="D22" s="7">
        <v>0</v>
      </c>
      <c r="E22" s="34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ht="15">
      <c r="A23" s="8" t="s">
        <v>147</v>
      </c>
      <c r="B23" s="10" t="s">
        <v>71</v>
      </c>
      <c r="C23" s="7">
        <v>1</v>
      </c>
      <c r="D23" s="7">
        <v>0</v>
      </c>
      <c r="E23" s="18">
        <f>(D23-C23)/C23*100</f>
        <v>-100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31" customFormat="1" ht="21" customHeight="1">
      <c r="A24" s="28" t="s">
        <v>148</v>
      </c>
      <c r="B24" s="29" t="s">
        <v>238</v>
      </c>
      <c r="C24" s="30">
        <f>SUM(C25:C28)</f>
        <v>114</v>
      </c>
      <c r="D24" s="30">
        <f>SUM(D25:D28)</f>
        <v>139</v>
      </c>
      <c r="E24" s="18">
        <f>(D24-C24)/C24*100</f>
        <v>21.929824561403507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30">
      <c r="A25" s="8" t="s">
        <v>149</v>
      </c>
      <c r="B25" s="10" t="s">
        <v>26</v>
      </c>
      <c r="C25" s="7">
        <v>81</v>
      </c>
      <c r="D25" s="7">
        <v>77</v>
      </c>
      <c r="E25" s="18">
        <f>(D25-C25)/C25*100</f>
        <v>-4.938271604938271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45">
      <c r="A26" s="8" t="s">
        <v>150</v>
      </c>
      <c r="B26" s="10" t="s">
        <v>76</v>
      </c>
      <c r="C26" s="7">
        <v>0</v>
      </c>
      <c r="D26" s="7">
        <v>0</v>
      </c>
      <c r="E26" s="3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45">
      <c r="A27" s="8" t="s">
        <v>151</v>
      </c>
      <c r="B27" s="10" t="s">
        <v>77</v>
      </c>
      <c r="C27" s="7">
        <v>33</v>
      </c>
      <c r="D27" s="7">
        <v>62</v>
      </c>
      <c r="E27" s="18">
        <f>(D27-C27)/C27*100</f>
        <v>87.87878787878788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8" t="s">
        <v>152</v>
      </c>
      <c r="B28" s="10" t="s">
        <v>71</v>
      </c>
      <c r="C28" s="7">
        <v>0</v>
      </c>
      <c r="D28" s="7">
        <v>0</v>
      </c>
      <c r="E28" s="3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30" spans="1:17" ht="15">
      <c r="A30" s="120" t="s">
        <v>78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1" s="5" customFormat="1" ht="159" customHeight="1">
      <c r="A31" s="92" t="s">
        <v>132</v>
      </c>
      <c r="B31" s="90" t="s">
        <v>79</v>
      </c>
      <c r="C31" s="90" t="s">
        <v>80</v>
      </c>
      <c r="D31" s="90" t="s">
        <v>81</v>
      </c>
      <c r="E31" s="91" t="s">
        <v>82</v>
      </c>
      <c r="F31" s="90" t="s">
        <v>83</v>
      </c>
      <c r="G31" s="90" t="s">
        <v>84</v>
      </c>
      <c r="H31" s="90" t="s">
        <v>85</v>
      </c>
      <c r="I31" s="90" t="s">
        <v>86</v>
      </c>
      <c r="J31" s="90" t="s">
        <v>87</v>
      </c>
      <c r="K31" s="90" t="s">
        <v>88</v>
      </c>
    </row>
    <row r="32" spans="1:11" ht="15">
      <c r="A32" s="90">
        <v>1</v>
      </c>
      <c r="B32" s="90">
        <v>2</v>
      </c>
      <c r="C32" s="90">
        <v>3</v>
      </c>
      <c r="D32" s="90">
        <v>4</v>
      </c>
      <c r="E32" s="91">
        <v>5</v>
      </c>
      <c r="F32" s="90">
        <v>6</v>
      </c>
      <c r="G32" s="90">
        <v>7</v>
      </c>
      <c r="H32" s="90">
        <v>8</v>
      </c>
      <c r="I32" s="90">
        <v>9</v>
      </c>
      <c r="J32" s="90">
        <v>10</v>
      </c>
      <c r="K32" s="90">
        <v>11</v>
      </c>
    </row>
    <row r="33" spans="1:11" ht="98.25" customHeight="1">
      <c r="A33" s="8" t="s">
        <v>154</v>
      </c>
      <c r="B33" s="191" t="s">
        <v>156</v>
      </c>
      <c r="C33" s="10" t="s">
        <v>199</v>
      </c>
      <c r="D33" s="10" t="s">
        <v>262</v>
      </c>
      <c r="E33" s="94" t="s">
        <v>266</v>
      </c>
      <c r="F33" s="7" t="s">
        <v>263</v>
      </c>
      <c r="G33" s="191" t="s">
        <v>116</v>
      </c>
      <c r="H33" s="7" t="s">
        <v>153</v>
      </c>
      <c r="I33" s="7" t="s">
        <v>153</v>
      </c>
      <c r="J33" s="7" t="s">
        <v>153</v>
      </c>
      <c r="K33" s="7" t="s">
        <v>153</v>
      </c>
    </row>
    <row r="34" spans="1:11" ht="183.75" customHeight="1">
      <c r="A34" s="8" t="s">
        <v>139</v>
      </c>
      <c r="B34" s="192"/>
      <c r="C34" s="10" t="s">
        <v>200</v>
      </c>
      <c r="D34" s="193" t="s">
        <v>201</v>
      </c>
      <c r="E34" s="194"/>
      <c r="F34" s="7" t="s">
        <v>117</v>
      </c>
      <c r="G34" s="192"/>
      <c r="H34" s="7" t="s">
        <v>153</v>
      </c>
      <c r="I34" s="7" t="s">
        <v>153</v>
      </c>
      <c r="J34" s="7" t="s">
        <v>153</v>
      </c>
      <c r="K34" s="7" t="s">
        <v>153</v>
      </c>
    </row>
    <row r="36" spans="1:17" ht="15">
      <c r="A36" s="120" t="s">
        <v>157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8" spans="1:4" ht="15">
      <c r="A38" s="8" t="s">
        <v>132</v>
      </c>
      <c r="B38" s="7" t="s">
        <v>89</v>
      </c>
      <c r="C38" s="10"/>
      <c r="D38" s="10"/>
    </row>
    <row r="39" spans="1:4" ht="135">
      <c r="A39" s="8" t="s">
        <v>154</v>
      </c>
      <c r="B39" s="10" t="s">
        <v>158</v>
      </c>
      <c r="C39" s="10" t="s">
        <v>90</v>
      </c>
      <c r="D39" s="7" t="s">
        <v>265</v>
      </c>
    </row>
    <row r="40" spans="1:4" ht="60">
      <c r="A40" s="8" t="s">
        <v>139</v>
      </c>
      <c r="B40" s="10" t="s">
        <v>159</v>
      </c>
      <c r="C40" s="10" t="s">
        <v>91</v>
      </c>
      <c r="D40" s="7" t="s">
        <v>153</v>
      </c>
    </row>
    <row r="41" spans="1:4" ht="75">
      <c r="A41" s="8" t="s">
        <v>140</v>
      </c>
      <c r="B41" s="10" t="s">
        <v>92</v>
      </c>
      <c r="C41" s="10" t="s">
        <v>91</v>
      </c>
      <c r="D41" s="7" t="s">
        <v>153</v>
      </c>
    </row>
    <row r="42" spans="1:4" ht="90">
      <c r="A42" s="8" t="s">
        <v>143</v>
      </c>
      <c r="B42" s="10" t="s">
        <v>93</v>
      </c>
      <c r="C42" s="10" t="s">
        <v>91</v>
      </c>
      <c r="D42" s="7" t="s">
        <v>153</v>
      </c>
    </row>
    <row r="43" spans="1:4" ht="90">
      <c r="A43" s="8" t="s">
        <v>148</v>
      </c>
      <c r="B43" s="10" t="s">
        <v>94</v>
      </c>
      <c r="C43" s="10" t="s">
        <v>160</v>
      </c>
      <c r="D43" s="7" t="s">
        <v>153</v>
      </c>
    </row>
    <row r="44" spans="1:4" ht="75">
      <c r="A44" s="8" t="s">
        <v>155</v>
      </c>
      <c r="B44" s="10" t="s">
        <v>95</v>
      </c>
      <c r="C44" s="10" t="s">
        <v>160</v>
      </c>
      <c r="D44" s="7" t="s">
        <v>153</v>
      </c>
    </row>
    <row r="46" spans="1:17" s="4" customFormat="1" ht="36.75" customHeight="1">
      <c r="A46" s="174" t="s">
        <v>161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21"/>
      <c r="Q46" s="21"/>
    </row>
    <row r="47" spans="1:17" ht="15" customHeight="1">
      <c r="A47" s="174" t="s">
        <v>162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26"/>
      <c r="L47" s="26"/>
      <c r="M47" s="26"/>
      <c r="N47" s="26"/>
      <c r="O47" s="26"/>
      <c r="P47" s="26"/>
      <c r="Q47" s="26"/>
    </row>
    <row r="48" spans="1:17" ht="15">
      <c r="A48" s="27"/>
      <c r="B48" s="26"/>
      <c r="C48" s="26"/>
      <c r="D48" s="26"/>
      <c r="E48" s="52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9.5" customHeight="1">
      <c r="A49" s="174" t="s">
        <v>237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26"/>
      <c r="Q49" s="26"/>
    </row>
    <row r="50" spans="1:17" ht="34.5" customHeight="1">
      <c r="A50" s="174" t="s">
        <v>236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26"/>
      <c r="Q50" s="26"/>
    </row>
    <row r="51" spans="1:17" ht="15">
      <c r="A51" s="185" t="s">
        <v>163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26"/>
      <c r="Q51" s="26"/>
    </row>
    <row r="52" spans="1:17" ht="15">
      <c r="A52" s="27"/>
      <c r="B52" s="26"/>
      <c r="C52" s="26"/>
      <c r="D52" s="26"/>
      <c r="E52" s="52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36" customHeight="1">
      <c r="A53" s="184" t="s">
        <v>164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26"/>
      <c r="Q53" s="26"/>
    </row>
    <row r="54" spans="1:17" ht="15">
      <c r="A54" s="186" t="s">
        <v>165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26"/>
      <c r="Q54" s="26"/>
    </row>
    <row r="55" spans="1:17" ht="15">
      <c r="A55" s="27"/>
      <c r="B55" s="26"/>
      <c r="C55" s="26"/>
      <c r="D55" s="26"/>
      <c r="E55" s="52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ht="15">
      <c r="A56" s="184" t="s">
        <v>166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26"/>
      <c r="Q56" s="26"/>
    </row>
    <row r="57" spans="1:17" ht="15">
      <c r="A57" s="185" t="s">
        <v>167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26"/>
      <c r="Q57" s="26"/>
    </row>
    <row r="58" spans="1:17" ht="15">
      <c r="A58" s="185" t="s">
        <v>168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26"/>
      <c r="Q58" s="26"/>
    </row>
    <row r="59" spans="1:17" ht="15">
      <c r="A59" s="27"/>
      <c r="B59" s="26"/>
      <c r="C59" s="26"/>
      <c r="D59" s="26"/>
      <c r="E59" s="52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5">
      <c r="A60" s="174" t="s">
        <v>169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30" s="5" customFormat="1" ht="39.75" customHeight="1">
      <c r="A61" s="183" t="s">
        <v>132</v>
      </c>
      <c r="B61" s="182" t="s">
        <v>170</v>
      </c>
      <c r="C61" s="182" t="s">
        <v>171</v>
      </c>
      <c r="D61" s="182" t="s">
        <v>172</v>
      </c>
      <c r="E61" s="182" t="s">
        <v>173</v>
      </c>
      <c r="F61" s="182"/>
      <c r="G61" s="182"/>
      <c r="H61" s="182"/>
      <c r="I61" s="182" t="s">
        <v>178</v>
      </c>
      <c r="J61" s="182"/>
      <c r="K61" s="182"/>
      <c r="L61" s="182"/>
      <c r="M61" s="182"/>
      <c r="N61" s="182"/>
      <c r="O61" s="182" t="s">
        <v>184</v>
      </c>
      <c r="P61" s="182"/>
      <c r="Q61" s="182"/>
      <c r="R61" s="182"/>
      <c r="S61" s="182"/>
      <c r="T61" s="182"/>
      <c r="U61" s="182"/>
      <c r="V61" s="182" t="s">
        <v>188</v>
      </c>
      <c r="W61" s="182"/>
      <c r="X61" s="182"/>
      <c r="Y61" s="182"/>
      <c r="Z61" s="182" t="s">
        <v>192</v>
      </c>
      <c r="AA61" s="182"/>
      <c r="AB61" s="182"/>
      <c r="AC61" s="182" t="s">
        <v>196</v>
      </c>
      <c r="AD61" s="182"/>
    </row>
    <row r="62" spans="1:41" s="5" customFormat="1" ht="211.5" customHeight="1">
      <c r="A62" s="183"/>
      <c r="B62" s="182"/>
      <c r="C62" s="182"/>
      <c r="D62" s="182"/>
      <c r="E62" s="53" t="s">
        <v>174</v>
      </c>
      <c r="F62" s="11" t="s">
        <v>175</v>
      </c>
      <c r="G62" s="11" t="s">
        <v>176</v>
      </c>
      <c r="H62" s="11" t="s">
        <v>177</v>
      </c>
      <c r="I62" s="11" t="s">
        <v>179</v>
      </c>
      <c r="J62" s="11" t="s">
        <v>180</v>
      </c>
      <c r="K62" s="11" t="s">
        <v>181</v>
      </c>
      <c r="L62" s="11" t="s">
        <v>182</v>
      </c>
      <c r="M62" s="11" t="s">
        <v>183</v>
      </c>
      <c r="N62" s="11" t="s">
        <v>65</v>
      </c>
      <c r="O62" s="11" t="s">
        <v>185</v>
      </c>
      <c r="P62" s="11" t="s">
        <v>186</v>
      </c>
      <c r="Q62" s="11" t="s">
        <v>187</v>
      </c>
      <c r="R62" s="11" t="s">
        <v>181</v>
      </c>
      <c r="S62" s="11" t="s">
        <v>182</v>
      </c>
      <c r="T62" s="11" t="s">
        <v>183</v>
      </c>
      <c r="U62" s="11" t="s">
        <v>65</v>
      </c>
      <c r="V62" s="11" t="s">
        <v>189</v>
      </c>
      <c r="W62" s="11" t="s">
        <v>190</v>
      </c>
      <c r="X62" s="11" t="s">
        <v>191</v>
      </c>
      <c r="Y62" s="11" t="s">
        <v>65</v>
      </c>
      <c r="Z62" s="11" t="s">
        <v>193</v>
      </c>
      <c r="AA62" s="11" t="s">
        <v>194</v>
      </c>
      <c r="AB62" s="11" t="s">
        <v>195</v>
      </c>
      <c r="AC62" s="11" t="s">
        <v>197</v>
      </c>
      <c r="AD62" s="11" t="s">
        <v>198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30" ht="15">
      <c r="A63" s="7">
        <v>1</v>
      </c>
      <c r="B63" s="7">
        <v>2</v>
      </c>
      <c r="C63" s="7">
        <v>3</v>
      </c>
      <c r="D63" s="7">
        <v>4</v>
      </c>
      <c r="E63" s="54">
        <v>5</v>
      </c>
      <c r="F63" s="7">
        <v>6</v>
      </c>
      <c r="G63" s="7">
        <v>7</v>
      </c>
      <c r="H63" s="7">
        <v>8</v>
      </c>
      <c r="I63" s="7">
        <v>9</v>
      </c>
      <c r="J63" s="7">
        <v>10</v>
      </c>
      <c r="K63" s="7">
        <v>11</v>
      </c>
      <c r="L63" s="7">
        <v>12</v>
      </c>
      <c r="M63" s="7">
        <v>13</v>
      </c>
      <c r="N63" s="7">
        <v>14</v>
      </c>
      <c r="O63" s="7">
        <v>15</v>
      </c>
      <c r="P63" s="7">
        <v>16</v>
      </c>
      <c r="Q63" s="7">
        <v>17</v>
      </c>
      <c r="R63" s="7">
        <v>18</v>
      </c>
      <c r="S63" s="7">
        <v>19</v>
      </c>
      <c r="T63" s="7">
        <v>20</v>
      </c>
      <c r="U63" s="7">
        <v>21</v>
      </c>
      <c r="V63" s="7">
        <v>22</v>
      </c>
      <c r="W63" s="7">
        <v>23</v>
      </c>
      <c r="X63" s="7">
        <v>24</v>
      </c>
      <c r="Y63" s="7">
        <v>25</v>
      </c>
      <c r="Z63" s="7">
        <v>26</v>
      </c>
      <c r="AA63" s="7">
        <v>27</v>
      </c>
      <c r="AB63" s="7">
        <v>28</v>
      </c>
      <c r="AC63" s="7">
        <v>29</v>
      </c>
      <c r="AD63" s="7">
        <v>30</v>
      </c>
    </row>
    <row r="64" spans="1:30" ht="30">
      <c r="A64" s="7"/>
      <c r="B64" s="7" t="s">
        <v>241</v>
      </c>
      <c r="C64" s="8" t="s">
        <v>261</v>
      </c>
      <c r="D64" s="7" t="s">
        <v>230</v>
      </c>
      <c r="E64" s="34" t="s">
        <v>231</v>
      </c>
      <c r="F64" s="7" t="s">
        <v>153</v>
      </c>
      <c r="G64" s="7" t="s">
        <v>153</v>
      </c>
      <c r="H64" s="7" t="s">
        <v>153</v>
      </c>
      <c r="I64" s="7" t="s">
        <v>153</v>
      </c>
      <c r="J64" s="7" t="s">
        <v>231</v>
      </c>
      <c r="K64" s="7" t="s">
        <v>153</v>
      </c>
      <c r="L64" s="7" t="s">
        <v>153</v>
      </c>
      <c r="M64" s="7" t="s">
        <v>153</v>
      </c>
      <c r="N64" s="7" t="s">
        <v>153</v>
      </c>
      <c r="O64" s="7" t="s">
        <v>153</v>
      </c>
      <c r="P64" s="7" t="s">
        <v>153</v>
      </c>
      <c r="Q64" s="7" t="s">
        <v>153</v>
      </c>
      <c r="R64" s="7" t="s">
        <v>153</v>
      </c>
      <c r="S64" s="7" t="s">
        <v>153</v>
      </c>
      <c r="T64" s="7" t="s">
        <v>153</v>
      </c>
      <c r="U64" s="7" t="s">
        <v>153</v>
      </c>
      <c r="V64" s="7" t="s">
        <v>231</v>
      </c>
      <c r="W64" s="7" t="s">
        <v>153</v>
      </c>
      <c r="X64" s="7" t="s">
        <v>153</v>
      </c>
      <c r="Y64" s="7" t="s">
        <v>153</v>
      </c>
      <c r="Z64" s="7" t="s">
        <v>232</v>
      </c>
      <c r="AA64" s="7" t="s">
        <v>153</v>
      </c>
      <c r="AB64" s="7" t="s">
        <v>153</v>
      </c>
      <c r="AC64" s="7" t="s">
        <v>231</v>
      </c>
      <c r="AD64" s="7" t="s">
        <v>153</v>
      </c>
    </row>
  </sheetData>
  <sheetProtection/>
  <mergeCells count="36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  <ignoredError sqref="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2019-04-01T16:35:18Z</dcterms:modified>
  <cp:category/>
  <cp:version/>
  <cp:contentType/>
  <cp:contentStatus/>
</cp:coreProperties>
</file>