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6"/>
  </bookViews>
  <sheets>
    <sheet name="1 Общ. инфор." sheetId="8" r:id="rId1"/>
    <sheet name="2 Показат. кач. передача" sheetId="1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инфор.'!$A$1:$N$34</definedName>
    <definedName name="_xlnm.Print_Area" localSheetId="1">'2 Показат. кач. передача'!$A$1:$T$49</definedName>
    <definedName name="_xlnm.Print_Area" localSheetId="2">'3 Показатели кач. тех. прис.'!$A$1:$T$55</definedName>
    <definedName name="_xlnm.Print_Area" localSheetId="3">'4 Качество обслуживания'!$A$1:$AD$69</definedName>
  </definedNames>
  <calcPr calcId="145621"/>
</workbook>
</file>

<file path=xl/calcChain.xml><?xml version="1.0" encoding="utf-8"?>
<calcChain xmlns="http://schemas.openxmlformats.org/spreadsheetml/2006/main">
  <c r="D30" i="1" l="1"/>
  <c r="D29" i="1"/>
  <c r="D25" i="1"/>
  <c r="D24" i="1"/>
  <c r="D23" i="1"/>
  <c r="D18" i="1"/>
  <c r="D17" i="1"/>
  <c r="D12" i="1"/>
  <c r="D11" i="1"/>
  <c r="E15" i="4" l="1"/>
  <c r="E17" i="4"/>
  <c r="E23" i="4"/>
  <c r="E27" i="4"/>
  <c r="E25" i="4"/>
  <c r="T53" i="3"/>
  <c r="T52" i="3"/>
  <c r="T51" i="3"/>
  <c r="T50" i="3"/>
  <c r="T49" i="3"/>
  <c r="T48" i="3"/>
  <c r="T47" i="3"/>
  <c r="T46" i="3"/>
  <c r="T45" i="3"/>
  <c r="T44" i="3"/>
  <c r="T43" i="3"/>
  <c r="T42" i="3"/>
  <c r="S53" i="3"/>
  <c r="S52" i="3"/>
  <c r="S51" i="3"/>
  <c r="S50" i="3"/>
  <c r="S49" i="3"/>
  <c r="S48" i="3"/>
  <c r="S47" i="3"/>
  <c r="S46" i="3"/>
  <c r="S45" i="3"/>
  <c r="S44" i="3"/>
  <c r="S43" i="3"/>
  <c r="S42" i="3"/>
  <c r="R53" i="3"/>
  <c r="R52" i="3"/>
  <c r="R51" i="3"/>
  <c r="R50" i="3"/>
  <c r="R49" i="3"/>
  <c r="R48" i="3"/>
  <c r="R47" i="3"/>
  <c r="R46" i="3"/>
  <c r="R45" i="3"/>
  <c r="R44" i="3"/>
  <c r="R43" i="3"/>
  <c r="R42" i="3"/>
  <c r="Q53" i="3"/>
  <c r="Q52" i="3"/>
  <c r="Q51" i="3"/>
  <c r="Q50" i="3"/>
  <c r="Q49" i="3"/>
  <c r="Q48" i="3"/>
  <c r="Q47" i="3"/>
  <c r="Q46" i="3"/>
  <c r="Q45" i="3"/>
  <c r="Q44" i="3"/>
  <c r="Q43" i="3"/>
  <c r="Q42" i="3"/>
  <c r="P53" i="3"/>
  <c r="P52" i="3"/>
  <c r="P51" i="3"/>
  <c r="P50" i="3"/>
  <c r="P49" i="3"/>
  <c r="P48" i="3"/>
  <c r="P47" i="3"/>
  <c r="P46" i="3"/>
  <c r="P45" i="3"/>
  <c r="P44" i="3"/>
  <c r="P43" i="3"/>
  <c r="P42" i="3"/>
  <c r="O53" i="3"/>
  <c r="O52" i="3"/>
  <c r="O51" i="3"/>
  <c r="O50" i="3"/>
  <c r="O49" i="3"/>
  <c r="O48" i="3"/>
  <c r="O47" i="3"/>
  <c r="O46" i="3"/>
  <c r="O45" i="3"/>
  <c r="O44" i="3"/>
  <c r="O43" i="3"/>
  <c r="O42" i="3"/>
  <c r="N53" i="3"/>
  <c r="N52" i="3"/>
  <c r="N51" i="3"/>
  <c r="N50" i="3"/>
  <c r="N49" i="3"/>
  <c r="N48" i="3"/>
  <c r="N47" i="3"/>
  <c r="N46" i="3"/>
  <c r="N45" i="3"/>
  <c r="N44" i="3"/>
  <c r="N43" i="3"/>
  <c r="N42" i="3"/>
  <c r="M53" i="3"/>
  <c r="M52" i="3"/>
  <c r="M51" i="3"/>
  <c r="M50" i="3"/>
  <c r="M49" i="3"/>
  <c r="M48" i="3"/>
  <c r="M47" i="3"/>
  <c r="M46" i="3"/>
  <c r="M45" i="3"/>
  <c r="M44" i="3"/>
  <c r="M43" i="3"/>
  <c r="M42" i="3"/>
  <c r="T41" i="3"/>
  <c r="T40" i="3"/>
  <c r="T39" i="3"/>
  <c r="T38" i="3"/>
  <c r="S41" i="3"/>
  <c r="S40" i="3"/>
  <c r="S39" i="3"/>
  <c r="S38" i="3"/>
  <c r="R41" i="3"/>
  <c r="R40" i="3"/>
  <c r="R39" i="3"/>
  <c r="R38" i="3"/>
  <c r="Q41" i="3"/>
  <c r="Q40" i="3"/>
  <c r="Q39" i="3"/>
  <c r="Q38" i="3"/>
  <c r="P41" i="3"/>
  <c r="P40" i="3"/>
  <c r="P39" i="3"/>
  <c r="P38" i="3"/>
  <c r="O41" i="3"/>
  <c r="O40" i="3"/>
  <c r="O39" i="3"/>
  <c r="O38" i="3"/>
  <c r="T37" i="3"/>
  <c r="T36" i="3"/>
  <c r="T35" i="3"/>
  <c r="T34" i="3"/>
  <c r="S37" i="3"/>
  <c r="S36" i="3"/>
  <c r="S35" i="3"/>
  <c r="S34" i="3"/>
  <c r="R37" i="3"/>
  <c r="R36" i="3"/>
  <c r="R35" i="3"/>
  <c r="R34" i="3"/>
  <c r="Q37" i="3"/>
  <c r="Q36" i="3"/>
  <c r="Q35" i="3"/>
  <c r="Q34" i="3"/>
  <c r="P37" i="3"/>
  <c r="P36" i="3"/>
  <c r="P35" i="3"/>
  <c r="P34" i="3"/>
  <c r="O37" i="3"/>
  <c r="O36" i="3"/>
  <c r="O35" i="3"/>
  <c r="O34" i="3"/>
  <c r="M41" i="3"/>
  <c r="M40" i="3"/>
  <c r="M39" i="3"/>
  <c r="M38" i="3"/>
  <c r="M37" i="3"/>
  <c r="M36" i="3"/>
  <c r="M35" i="3"/>
  <c r="M34" i="3"/>
  <c r="D15" i="4"/>
  <c r="D8" i="4"/>
  <c r="D24" i="4"/>
  <c r="C24" i="4"/>
  <c r="L53" i="3"/>
  <c r="L52" i="3"/>
  <c r="L51" i="3"/>
  <c r="L50" i="3"/>
  <c r="K53" i="3"/>
  <c r="K52" i="3"/>
  <c r="K51" i="3"/>
  <c r="K50" i="3"/>
  <c r="J53" i="3"/>
  <c r="J52" i="3"/>
  <c r="J51" i="3"/>
  <c r="J50" i="3"/>
  <c r="I53" i="3"/>
  <c r="I52" i="3"/>
  <c r="I51" i="3"/>
  <c r="I50" i="3"/>
  <c r="H53" i="3"/>
  <c r="H52" i="3"/>
  <c r="H51" i="3"/>
  <c r="H50" i="3"/>
  <c r="G53" i="3"/>
  <c r="G52" i="3"/>
  <c r="G51" i="3"/>
  <c r="G50" i="3"/>
  <c r="F53" i="3"/>
  <c r="F52" i="3"/>
  <c r="F51" i="3"/>
  <c r="F50" i="3"/>
  <c r="E53" i="3"/>
  <c r="E52" i="3"/>
  <c r="E51" i="3"/>
  <c r="E50" i="3"/>
  <c r="L49" i="3"/>
  <c r="L48" i="3"/>
  <c r="K49" i="3"/>
  <c r="K48" i="3"/>
  <c r="J49" i="3"/>
  <c r="J48" i="3"/>
  <c r="I49" i="3"/>
  <c r="I48" i="3"/>
  <c r="H49" i="3"/>
  <c r="H48" i="3"/>
  <c r="G49" i="3"/>
  <c r="G48" i="3"/>
  <c r="F49" i="3"/>
  <c r="F48" i="3"/>
  <c r="E49" i="3"/>
  <c r="E48" i="3"/>
  <c r="L47" i="3"/>
  <c r="L46" i="3"/>
  <c r="K47" i="3"/>
  <c r="K46" i="3"/>
  <c r="J47" i="3"/>
  <c r="J46" i="3"/>
  <c r="I47" i="3"/>
  <c r="I46" i="3"/>
  <c r="H47" i="3"/>
  <c r="H46" i="3"/>
  <c r="G47" i="3"/>
  <c r="G46" i="3"/>
  <c r="F47" i="3"/>
  <c r="F46" i="3"/>
  <c r="E47" i="3"/>
  <c r="E46" i="3"/>
  <c r="L45" i="3"/>
  <c r="K45" i="3"/>
  <c r="L44" i="3"/>
  <c r="K44" i="3"/>
  <c r="J45" i="3"/>
  <c r="I45" i="3"/>
  <c r="J44" i="3"/>
  <c r="I44" i="3"/>
  <c r="H45" i="3"/>
  <c r="G45" i="3"/>
  <c r="H44" i="3"/>
  <c r="G44" i="3"/>
  <c r="F45" i="3"/>
  <c r="F44" i="3"/>
  <c r="E45" i="3"/>
  <c r="E44" i="3"/>
  <c r="L43" i="3"/>
  <c r="L42" i="3"/>
  <c r="K43" i="3"/>
  <c r="K42" i="3"/>
  <c r="J43" i="3"/>
  <c r="J42" i="3"/>
  <c r="I43" i="3"/>
  <c r="I42" i="3"/>
  <c r="H43" i="3"/>
  <c r="H42" i="3"/>
  <c r="G43" i="3"/>
  <c r="G42" i="3"/>
  <c r="F43" i="3"/>
  <c r="F42" i="3"/>
  <c r="E43" i="3"/>
  <c r="E42" i="3"/>
  <c r="K40" i="3"/>
  <c r="L41" i="3"/>
  <c r="K41" i="3"/>
  <c r="L40" i="3"/>
  <c r="L39" i="3"/>
  <c r="K39" i="3"/>
  <c r="L38" i="3"/>
  <c r="K38" i="3"/>
  <c r="J41" i="3"/>
  <c r="J40" i="3"/>
  <c r="J39" i="3"/>
  <c r="J38" i="3"/>
  <c r="I41" i="3"/>
  <c r="I40" i="3"/>
  <c r="I39" i="3"/>
  <c r="I38" i="3"/>
  <c r="G38" i="3"/>
  <c r="H38" i="3"/>
  <c r="G39" i="3"/>
  <c r="H39" i="3"/>
  <c r="G40" i="3"/>
  <c r="H40" i="3"/>
  <c r="G41" i="3"/>
  <c r="H41" i="3"/>
  <c r="E38" i="3"/>
  <c r="E39" i="3"/>
  <c r="E40" i="3"/>
  <c r="E41" i="3"/>
  <c r="L35" i="3"/>
  <c r="L34" i="3"/>
  <c r="L37" i="3"/>
  <c r="L36" i="3"/>
  <c r="K37" i="3"/>
  <c r="K36" i="3"/>
  <c r="K35" i="3"/>
  <c r="K34" i="3"/>
  <c r="J37" i="3"/>
  <c r="J36" i="3"/>
  <c r="I37" i="3"/>
  <c r="I36" i="3"/>
  <c r="J35" i="3"/>
  <c r="J34" i="3"/>
  <c r="I35" i="3"/>
  <c r="I34" i="3"/>
  <c r="H36" i="3"/>
  <c r="H37" i="3"/>
  <c r="G36" i="3"/>
  <c r="G37" i="3"/>
  <c r="E37" i="3"/>
  <c r="E36" i="3"/>
  <c r="H35" i="3"/>
  <c r="H34" i="3"/>
  <c r="G35" i="3"/>
  <c r="G34" i="3"/>
  <c r="E35" i="3"/>
  <c r="E34" i="3"/>
  <c r="R22" i="3"/>
  <c r="R21" i="3"/>
  <c r="K26" i="3"/>
  <c r="K22" i="3"/>
  <c r="K21" i="3"/>
  <c r="H26" i="3"/>
  <c r="H22" i="3"/>
  <c r="H21" i="3"/>
  <c r="E26" i="3"/>
  <c r="E22" i="3"/>
  <c r="E21" i="3"/>
  <c r="K20" i="3"/>
  <c r="H20" i="3"/>
  <c r="E20" i="3"/>
  <c r="R16" i="3"/>
  <c r="E16" i="3"/>
  <c r="H16" i="3"/>
  <c r="K16" i="3"/>
  <c r="K15" i="3"/>
  <c r="H15" i="3"/>
  <c r="E15" i="3"/>
  <c r="E10" i="4" l="1"/>
  <c r="E24" i="4"/>
  <c r="E8" i="4"/>
  <c r="D41" i="1" l="1"/>
  <c r="G41" i="1"/>
  <c r="H41" i="1"/>
  <c r="K41" i="1"/>
  <c r="L41" i="1"/>
  <c r="O41" i="1"/>
  <c r="P41" i="1"/>
  <c r="Q41" i="1"/>
  <c r="R41" i="1"/>
  <c r="S41" i="1"/>
  <c r="T41" i="1"/>
  <c r="C41" i="1"/>
  <c r="F40" i="1"/>
  <c r="F41" i="1" s="1"/>
  <c r="E40" i="1"/>
  <c r="E41" i="1" s="1"/>
  <c r="E7" i="1"/>
  <c r="N40" i="1"/>
  <c r="N41" i="1" s="1"/>
  <c r="M40" i="1"/>
  <c r="M41" i="1" s="1"/>
  <c r="J40" i="1"/>
  <c r="J41" i="1" s="1"/>
  <c r="I40" i="1"/>
  <c r="I41" i="1" s="1"/>
  <c r="E11" i="1" l="1"/>
</calcChain>
</file>

<file path=xl/sharedStrings.xml><?xml version="1.0" encoding="utf-8"?>
<sst xmlns="http://schemas.openxmlformats.org/spreadsheetml/2006/main" count="499" uniqueCount="269">
  <si>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</si>
  <si>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</si>
  <si>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</si>
  <si>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</si>
  <si>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</si>
  <si>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</si>
  <si>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</si>
  <si>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</si>
  <si>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</si>
  <si>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</si>
  <si>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</si>
  <si>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</si>
  <si>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</si>
  <si>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</si>
  <si>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</si>
  <si>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</si>
  <si>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</si>
  <si>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</si>
  <si>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</si>
  <si>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</si>
  <si>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</si>
  <si>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</si>
  <si>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</si>
  <si>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</si>
  <si>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</si>
  <si>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</si>
  <si>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</si>
  <si>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</si>
  <si>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</si>
  <si>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</si>
  <si>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</si>
  <si>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</si>
  <si>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</si>
  <si>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</si>
  <si>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</si>
  <si>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</si>
  <si>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</si>
  <si>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</si>
  <si>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</si>
  <si>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</si>
  <si>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</si>
  <si>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</si>
  <si>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</si>
  <si>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</si>
  <si>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</si>
  <si>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</si>
  <si>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</si>
  <si>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</si>
  <si>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</si>
  <si>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</si>
  <si>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</si>
  <si>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</si>
  <si>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</si>
  <si>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</si>
  <si>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</si>
  <si>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</si>
  <si>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</si>
  <si>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</si>
  <si>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</si>
  <si>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</si>
  <si>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</si>
  <si>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</si>
  <si>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</si>
  <si>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</si>
  <si>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</si>
  <si>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</si>
  <si>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</si>
  <si>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</si>
  <si>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</si>
  <si>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</si>
  <si>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</si>
  <si>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</si>
  <si>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</si>
  <si>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</si>
  <si>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</si>
  <si>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</si>
  <si>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</si>
  <si>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</si>
  <si>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</si>
  <si>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</si>
  <si>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</si>
  <si>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</si>
  <si>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</si>
  <si>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</si>
  <si>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</si>
  <si>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</si>
  <si>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</si>
  <si>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</si>
  <si>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</si>
  <si>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</si>
  <si>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</si>
  <si>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</si>
  <si>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</si>
  <si>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</si>
  <si>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</si>
  <si>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</si>
  <si>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</si>
  <si>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</si>
  <si>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</si>
  <si>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</si>
  <si>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</si>
  <si>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</si>
  <si>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</si>
  <si>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</si>
  <si>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</si>
  <si>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</si>
  <si>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</si>
  <si>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</si>
  <si>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</si>
  <si>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</si>
  <si>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</si>
  <si>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</si>
  <si>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</si>
  <si>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</si>
  <si>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</si>
  <si>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</si>
  <si>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</si>
  <si>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</si>
  <si>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</si>
  <si>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</si>
  <si>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</si>
  <si>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</si>
  <si>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theme="1"/>
        <rFont val="Times New Roman"/>
        <family val="1"/>
        <charset val="204"/>
      </rPr>
      <t>Раскрытию не подлежит, ввиду отсутствия для ИП Кацман В.В. инвестиционной программы, утвержденной РЭК Омской области.</t>
    </r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</si>
  <si>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</si>
  <si>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</si>
  <si>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</si>
  <si>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</si>
  <si>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</si>
  <si>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</si>
  <si>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</si>
  <si>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</si>
  <si>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</si>
  <si>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</si>
  <si>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</si>
  <si>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</si>
  <si>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</si>
  <si>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</si>
  <si>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</si>
  <si>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</si>
  <si>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</si>
  <si>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</si>
  <si>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</si>
  <si>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</si>
  <si>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</si>
  <si>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</si>
  <si>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</si>
  <si>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</si>
  <si>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</si>
  <si>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</si>
  <si>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</si>
  <si>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</si>
  <si>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</si>
  <si>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</si>
  <si>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</si>
  <si>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</si>
  <si>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</si>
  <si>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</si>
  <si>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</si>
  <si>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г. Омск, ул. 36-я Северная, 5</t>
  </si>
  <si>
    <t>68-15-59</t>
  </si>
  <si>
    <t>68-15-59; katcman64@mail.ru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</si>
  <si>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</si>
  <si>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</si>
  <si>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</si>
  <si>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</si>
  <si>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</si>
  <si>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</si>
  <si>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</si>
  <si>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</si>
  <si>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</si>
  <si>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</si>
  <si>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</si>
  <si>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</si>
  <si>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</si>
  <si>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</si>
  <si>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</si>
  <si>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</si>
  <si>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</si>
  <si>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</si>
  <si>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</si>
  <si>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</si>
  <si>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</si>
  <si>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</si>
  <si>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</si>
  <si>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</si>
  <si>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</si>
  <si>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</si>
  <si>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</si>
  <si>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</si>
  <si>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</si>
  <si>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</si>
  <si>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</si>
  <si>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</si>
  <si>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</si>
  <si>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</si>
  <si>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</si>
  <si>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</si>
  <si>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</si>
  <si>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</si>
  <si>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</si>
  <si>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</si>
  <si>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</si>
  <si>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</si>
  <si>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9:00 - 16:40</t>
  </si>
  <si>
    <t>очный</t>
  </si>
  <si>
    <t>заочный</t>
  </si>
  <si>
    <t>http://katsman-omsk.ru/centr-obsluzhivaniya-klientov/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</si>
  <si>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</si>
  <si>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</si>
  <si>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</si>
  <si>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7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</si>
  <si>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</si>
  <si>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</si>
  <si>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</si>
  <si>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ОДПУ в мжд</t>
  </si>
  <si>
    <t>безхоз</t>
  </si>
  <si>
    <t>АСКУЭ</t>
  </si>
  <si>
    <t>1. Общая информация о сетевой организации ИП Кацман В.В.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</si>
  <si>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</si>
  <si>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</si>
  <si>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</si>
  <si>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</si>
  <si>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</si>
  <si>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</si>
  <si>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</si>
  <si>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</si>
  <si>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</si>
  <si>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</si>
  <si>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</si>
  <si>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</si>
  <si>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</si>
  <si>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2. Информация о качестве услуг по передаче электрической энергии по сетям сетевой организации ИП Кацман В.В.</t>
  </si>
  <si>
    <t xml:space="preserve">4. Качество обслуживания </t>
  </si>
  <si>
    <t>0,6</t>
  </si>
  <si>
    <t>ТП</t>
  </si>
  <si>
    <t>КЛ/ВЛ</t>
  </si>
  <si>
    <t>300 - городская местность</t>
  </si>
  <si>
    <t>500 - сельская местность</t>
  </si>
  <si>
    <t>ЮЛ, ИП</t>
  </si>
  <si>
    <t>ЮЛ, ИП, ФЛ-льготники (СНТ, ГСК, церкви, объединения гаражей, сараев и т.д.)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</si>
  <si>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</si>
  <si>
    <t>не фиксируется</t>
  </si>
  <si>
    <t xml:space="preserve"> +</t>
  </si>
  <si>
    <t xml:space="preserve">  +</t>
  </si>
  <si>
    <t>ИП Кацман В.В.</t>
  </si>
  <si>
    <t>59%</t>
  </si>
  <si>
    <t>41%</t>
  </si>
  <si>
    <t>65 % рост относительно факта 2015 года</t>
  </si>
  <si>
    <t>2017 год (факт)</t>
  </si>
  <si>
    <t xml:space="preserve">Население и прирав. </t>
  </si>
  <si>
    <t>ИПУ в ЧЖД</t>
  </si>
  <si>
    <t>2017 год</t>
  </si>
  <si>
    <t>1. Стоимость услуг тех. присоединения к сетям ИП Кацман В.В. определяется согласно стандартизированным тарифным ставкам, установленными в редакции приказа РЭК Омской области №615/82 от 26.12.2017г. Расчет окончательной стоимости определяется по формулам, указанным в Приложении №4 настоящего приказа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</si>
  <si>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</t>
  </si>
  <si>
    <t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</t>
  </si>
  <si>
    <t>Заявки на оказание услуг:</t>
  </si>
  <si>
    <t>Обращения потребителей:</t>
  </si>
  <si>
    <t>Жалобы:</t>
  </si>
  <si>
    <t>2017</t>
  </si>
  <si>
    <t>фиксируется</t>
  </si>
  <si>
    <t>35 % снижение относительно факта 2016 года</t>
  </si>
  <si>
    <t>55 % рост относительно факта 2016 года</t>
  </si>
  <si>
    <t>0,3</t>
  </si>
  <si>
    <t>71,648</t>
  </si>
  <si>
    <t>По стандартизированной тарифной ставке</t>
  </si>
  <si>
    <t>Способ расчета</t>
  </si>
  <si>
    <t>По ставке за единицу мощности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</si>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</sst>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180" wrapText="1"/>
    </xf>
    <xf numFmtId="2" fontId="1" fillId="0" borderId="0" xfId="0" applyNumberFormat="1" applyFont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49" fontId="8" fillId="0" borderId="0" xfId="0" applyNumberFormat="1" applyFont="1" applyFill="1"/>
    <xf numFmtId="0" fontId="1" fillId="0" borderId="12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top" wrapText="1"/>
    </xf>
    <xf numFmtId="2" fontId="10" fillId="0" borderId="1" xfId="0" applyNumberFormat="1" applyFont="1" applyBorder="1" applyAlignment="1">
      <alignment horizontal="center" vertical="center" textRotation="180" wrapText="1"/>
    </xf>
    <xf numFmtId="0" fontId="10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6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" xfId="0" applyFill="1" applyBorder="1"/>
    <xf numFmtId="0" fontId="2" fillId="0" borderId="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9" fontId="1" fillId="0" borderId="13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/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/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1488141</xdr:colOff>
      <xdr:row>6</xdr:row>
      <xdr:rowOff>146237</xdr:rowOff>
    </xdr:from>
    <xdr:to>
      <xdr:col>1</xdr:col>
      <xdr:colOff>1897716</xdr:colOff>
      <xdr:row>7</xdr:row>
      <xdr:rowOff>50987</xdr:rowOff>
    </xdr:to>
    <xdr:pic>
      <xdr:nvPicPr>
        <xdr:cNvPr id="1032" name="Picture 8">
          <a:extLst>
            <a:ext uri="{FF2B5EF4-FFF2-40B4-BE49-F238E27FC236}">
              <a16:creationId xmlns="" xmlns:a16="http://schemas.microsoft.com/office/drawing/2014/main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376" y="1558178"/>
          <a:ext cx="409575" cy="22972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1443878</xdr:colOff>
      <xdr:row>12</xdr:row>
      <xdr:rowOff>165286</xdr:rowOff>
    </xdr:from>
    <xdr:to>
      <xdr:col>1</xdr:col>
      <xdr:colOff>1824878</xdr:colOff>
      <xdr:row>13</xdr:row>
      <xdr:rowOff>70036</xdr:rowOff>
    </xdr:to>
    <xdr:pic>
      <xdr:nvPicPr>
        <xdr:cNvPr id="1031" name="Picture 7">
          <a:extLst>
            <a:ext uri="{FF2B5EF4-FFF2-40B4-BE49-F238E27FC236}">
              <a16:creationId xmlns="" xmlns:a16="http://schemas.microsoft.com/office/drawing/2014/main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92113" y="2854698"/>
          <a:ext cx="381000" cy="229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2223247</xdr:colOff>
      <xdr:row>18</xdr:row>
      <xdr:rowOff>620805</xdr:rowOff>
    </xdr:from>
    <xdr:to>
      <xdr:col>1</xdr:col>
      <xdr:colOff>3023347</xdr:colOff>
      <xdr:row>19</xdr:row>
      <xdr:rowOff>68355</xdr:rowOff>
    </xdr:to>
    <xdr:pic>
      <xdr:nvPicPr>
        <xdr:cNvPr id="1030" name="Picture 6">
          <a:extLst>
            <a:ext uri="{FF2B5EF4-FFF2-40B4-BE49-F238E27FC236}">
              <a16:creationId xmlns=""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71482" y="4587687"/>
          <a:ext cx="800100" cy="2543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2391895</xdr:colOff>
      <xdr:row>24</xdr:row>
      <xdr:rowOff>622487</xdr:rowOff>
    </xdr:from>
    <xdr:to>
      <xdr:col>1</xdr:col>
      <xdr:colOff>2991970</xdr:colOff>
      <xdr:row>25</xdr:row>
      <xdr:rowOff>50987</xdr:rowOff>
    </xdr:to>
    <xdr:pic>
      <xdr:nvPicPr>
        <xdr:cNvPr id="1029" name="Picture 5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0130" y="6348693"/>
          <a:ext cx="600075" cy="235323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6" name="Picture 1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16586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7" name="Picture 1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1687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8" name="Picture 10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17729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9" name="Picture 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1801475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view="pageBreakPreview" zoomScale="85" zoomScaleSheetLayoutView="85" workbookViewId="0">
      <selection activeCell="I2" sqref="I2"/>
    </sheetView>
  </sheetViews>
  <sheetFormatPr defaultRowHeight="15" x14ac:dyDescent="0.25"/>
  <cols>
    <col min="1" max="1" width="19" style="174" customWidth="1"/>
    <col min="2" max="2" width="15.42578125" style="174" customWidth="1"/>
    <col min="3" max="3" width="12.140625" style="174" customWidth="1"/>
    <col min="4" max="4" width="13.85546875" style="174" customWidth="1"/>
    <col min="5" max="5" width="13.28515625" style="38" customWidth="1"/>
    <col min="6" max="6" width="13.85546875" style="38" customWidth="1"/>
    <col min="7" max="7" width="13.140625" style="38" customWidth="1"/>
    <col min="8" max="8" width="11.7109375" style="38" customWidth="1"/>
    <col min="9" max="9" width="12.5703125" style="38" customWidth="1"/>
    <col min="10" max="10" width="12.85546875" style="38" customWidth="1"/>
    <col min="11" max="11" width="11.5703125" style="38" customWidth="1"/>
    <col min="12" max="12" width="12.5703125" style="38" customWidth="1"/>
    <col min="13" max="13" width="14.42578125" style="38" customWidth="1"/>
    <col min="14" max="14" width="11.5703125" style="38" customWidth="1"/>
    <col min="15" max="15" width="12.5703125" style="38" customWidth="1"/>
    <col min="16" max="16384" width="9.140625" style="38"/>
  </cols>
  <sheetData>
    <row r="1" spans="1:24" ht="15.75" x14ac:dyDescent="0.25">
      <c r="A1" s="103" t="s">
        <v>217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3" spans="1:24" s="158" customFormat="1" ht="45.75" customHeight="1" thickBot="1" x14ac:dyDescent="0.3">
      <c r="A3" s="156" t="s">
        <v>207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4" x14ac:dyDescent="0.25">
      <c r="A4" s="159" t="s">
        <v>209</v>
      </c>
      <c r="B4" s="144" t="s">
        <v>50</v>
      </c>
      <c r="C4" s="160" t="s">
        <v>248</v>
      </c>
      <c r="D4" s="161"/>
      <c r="E4" s="161"/>
      <c r="F4" s="162"/>
    </row>
    <row r="5" spans="1:24" s="166" customFormat="1" x14ac:dyDescent="0.25">
      <c r="A5" s="159"/>
      <c r="B5" s="144"/>
      <c r="C5" s="163" t="s">
        <v>19</v>
      </c>
      <c r="D5" s="164" t="s">
        <v>20</v>
      </c>
      <c r="E5" s="37" t="s">
        <v>21</v>
      </c>
      <c r="F5" s="165" t="s">
        <v>22</v>
      </c>
    </row>
    <row r="6" spans="1:24" s="166" customFormat="1" x14ac:dyDescent="0.25">
      <c r="A6" s="167" t="s">
        <v>155</v>
      </c>
      <c r="B6" s="168" t="s">
        <v>140</v>
      </c>
      <c r="C6" s="169" t="s">
        <v>149</v>
      </c>
      <c r="D6" s="167" t="s">
        <v>156</v>
      </c>
      <c r="E6" s="167" t="s">
        <v>267</v>
      </c>
      <c r="F6" s="170" t="s">
        <v>268</v>
      </c>
    </row>
    <row r="7" spans="1:24" x14ac:dyDescent="0.25">
      <c r="A7" s="171" t="s">
        <v>208</v>
      </c>
      <c r="B7" s="151" t="s">
        <v>52</v>
      </c>
      <c r="C7" s="77" t="s">
        <v>154</v>
      </c>
      <c r="D7" s="78" t="s">
        <v>154</v>
      </c>
      <c r="E7" s="37">
        <v>95</v>
      </c>
      <c r="F7" s="165">
        <v>59</v>
      </c>
    </row>
    <row r="8" spans="1:24" ht="15.75" thickBot="1" x14ac:dyDescent="0.3">
      <c r="A8" s="171" t="s">
        <v>249</v>
      </c>
      <c r="B8" s="151" t="s">
        <v>52</v>
      </c>
      <c r="C8" s="172" t="s">
        <v>154</v>
      </c>
      <c r="D8" s="55" t="s">
        <v>154</v>
      </c>
      <c r="E8" s="55" t="s">
        <v>210</v>
      </c>
      <c r="F8" s="173">
        <v>420</v>
      </c>
    </row>
    <row r="9" spans="1:24" x14ac:dyDescent="0.25">
      <c r="A9" s="53" t="s">
        <v>260</v>
      </c>
    </row>
    <row r="10" spans="1:24" x14ac:dyDescent="0.25">
      <c r="A10" s="53"/>
    </row>
    <row r="11" spans="1:24" s="175" customFormat="1" ht="60" customHeight="1" thickBot="1" x14ac:dyDescent="0.3">
      <c r="A11" s="156" t="s">
        <v>211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24" s="179" customFormat="1" ht="60" x14ac:dyDescent="0.25">
      <c r="A12" s="176" t="s">
        <v>209</v>
      </c>
      <c r="B12" s="177" t="s">
        <v>212</v>
      </c>
      <c r="C12" s="80" t="s">
        <v>213</v>
      </c>
      <c r="D12" s="178"/>
      <c r="E12" s="178"/>
      <c r="F12" s="178"/>
      <c r="G12" s="178"/>
      <c r="H12" s="178"/>
      <c r="I12" s="178"/>
      <c r="J12" s="178"/>
    </row>
    <row r="13" spans="1:24" s="179" customFormat="1" ht="15" customHeight="1" x14ac:dyDescent="0.25">
      <c r="A13" s="180"/>
      <c r="B13" s="181" t="s">
        <v>248</v>
      </c>
      <c r="C13" s="182"/>
      <c r="D13" s="178"/>
      <c r="E13" s="178"/>
      <c r="F13" s="178"/>
      <c r="G13" s="178"/>
      <c r="H13" s="178"/>
      <c r="I13" s="178"/>
      <c r="J13" s="178"/>
    </row>
    <row r="14" spans="1:24" s="179" customFormat="1" x14ac:dyDescent="0.25">
      <c r="A14" s="168" t="s">
        <v>155</v>
      </c>
      <c r="B14" s="169" t="s">
        <v>140</v>
      </c>
      <c r="C14" s="170" t="s">
        <v>149</v>
      </c>
      <c r="D14" s="178"/>
      <c r="E14" s="178"/>
      <c r="F14" s="178"/>
      <c r="G14" s="178"/>
      <c r="H14" s="178"/>
      <c r="I14" s="178"/>
      <c r="J14" s="178"/>
    </row>
    <row r="15" spans="1:24" x14ac:dyDescent="0.25">
      <c r="A15" s="183" t="s">
        <v>208</v>
      </c>
      <c r="B15" s="184">
        <v>332</v>
      </c>
      <c r="C15" s="185">
        <v>332</v>
      </c>
      <c r="D15" s="38"/>
    </row>
    <row r="16" spans="1:24" x14ac:dyDescent="0.25">
      <c r="A16" s="183" t="s">
        <v>250</v>
      </c>
      <c r="B16" s="184">
        <v>399</v>
      </c>
      <c r="C16" s="185">
        <v>342</v>
      </c>
      <c r="D16" s="38"/>
    </row>
    <row r="17" spans="1:14" x14ac:dyDescent="0.25">
      <c r="A17" s="183" t="s">
        <v>214</v>
      </c>
      <c r="B17" s="184">
        <v>337</v>
      </c>
      <c r="C17" s="185">
        <v>337</v>
      </c>
      <c r="D17" s="38"/>
    </row>
    <row r="18" spans="1:14" x14ac:dyDescent="0.25">
      <c r="A18" s="183" t="s">
        <v>215</v>
      </c>
      <c r="B18" s="77" t="s">
        <v>154</v>
      </c>
      <c r="C18" s="79" t="s">
        <v>154</v>
      </c>
      <c r="D18" s="38"/>
    </row>
    <row r="19" spans="1:14" ht="15.75" thickBot="1" x14ac:dyDescent="0.3">
      <c r="A19" s="183" t="s">
        <v>216</v>
      </c>
      <c r="B19" s="172" t="s">
        <v>154</v>
      </c>
      <c r="C19" s="186" t="s">
        <v>154</v>
      </c>
      <c r="D19" s="38"/>
    </row>
    <row r="20" spans="1:14" x14ac:dyDescent="0.25">
      <c r="A20" s="53" t="s">
        <v>261</v>
      </c>
    </row>
    <row r="22" spans="1:14" ht="39.75" customHeight="1" thickBot="1" x14ac:dyDescent="0.3">
      <c r="A22" s="156" t="s">
        <v>218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s="178" customFormat="1" ht="15" customHeight="1" x14ac:dyDescent="0.25">
      <c r="A23" s="86" t="s">
        <v>219</v>
      </c>
      <c r="B23" s="91" t="s">
        <v>220</v>
      </c>
      <c r="C23" s="91"/>
      <c r="D23" s="91" t="s">
        <v>221</v>
      </c>
      <c r="E23" s="92"/>
    </row>
    <row r="24" spans="1:14" x14ac:dyDescent="0.25">
      <c r="A24" s="87"/>
      <c r="B24" s="78" t="s">
        <v>223</v>
      </c>
      <c r="C24" s="78" t="s">
        <v>222</v>
      </c>
      <c r="D24" s="78" t="s">
        <v>223</v>
      </c>
      <c r="E24" s="79" t="s">
        <v>222</v>
      </c>
    </row>
    <row r="25" spans="1:14" x14ac:dyDescent="0.25">
      <c r="A25" s="88" t="s">
        <v>248</v>
      </c>
      <c r="B25" s="89"/>
      <c r="C25" s="89"/>
      <c r="D25" s="89"/>
      <c r="E25" s="90"/>
      <c r="H25" s="166"/>
    </row>
    <row r="26" spans="1:14" s="166" customFormat="1" ht="15.75" thickBot="1" x14ac:dyDescent="0.3">
      <c r="A26" s="54">
        <v>51</v>
      </c>
      <c r="B26" s="55" t="s">
        <v>262</v>
      </c>
      <c r="C26" s="55" t="s">
        <v>233</v>
      </c>
      <c r="D26" s="55" t="s">
        <v>263</v>
      </c>
      <c r="E26" s="56">
        <v>50.527999999999999</v>
      </c>
      <c r="I26" s="38"/>
      <c r="J26" s="38"/>
      <c r="K26" s="38"/>
      <c r="L26" s="38"/>
      <c r="M26" s="38"/>
      <c r="N26" s="38"/>
    </row>
    <row r="27" spans="1:14" s="166" customFormat="1" x14ac:dyDescent="0.25">
      <c r="A27" s="53" t="s">
        <v>247</v>
      </c>
      <c r="B27" s="187"/>
      <c r="C27" s="187"/>
      <c r="D27" s="187"/>
      <c r="E27" s="188"/>
      <c r="I27" s="38"/>
      <c r="J27" s="38"/>
      <c r="K27" s="38"/>
      <c r="L27" s="38"/>
      <c r="M27" s="38"/>
      <c r="N27" s="38"/>
    </row>
    <row r="29" spans="1:14" ht="35.25" customHeight="1" thickBot="1" x14ac:dyDescent="0.3">
      <c r="A29" s="156" t="s">
        <v>224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  <row r="30" spans="1:14" s="179" customFormat="1" ht="15" customHeight="1" x14ac:dyDescent="0.25">
      <c r="A30" s="144" t="s">
        <v>226</v>
      </c>
      <c r="B30" s="145" t="s">
        <v>225</v>
      </c>
      <c r="C30" s="91"/>
      <c r="D30" s="91"/>
      <c r="E30" s="92"/>
    </row>
    <row r="31" spans="1:14" s="166" customFormat="1" x14ac:dyDescent="0.25">
      <c r="A31" s="144"/>
      <c r="B31" s="77" t="s">
        <v>19</v>
      </c>
      <c r="C31" s="78" t="s">
        <v>20</v>
      </c>
      <c r="D31" s="78" t="s">
        <v>21</v>
      </c>
      <c r="E31" s="146" t="s">
        <v>22</v>
      </c>
    </row>
    <row r="32" spans="1:14" x14ac:dyDescent="0.25">
      <c r="A32" s="144"/>
      <c r="B32" s="88" t="s">
        <v>251</v>
      </c>
      <c r="C32" s="89"/>
      <c r="D32" s="89"/>
      <c r="E32" s="90"/>
    </row>
    <row r="33" spans="1:5" x14ac:dyDescent="0.25">
      <c r="A33" s="147" t="s">
        <v>234</v>
      </c>
      <c r="B33" s="148"/>
      <c r="C33" s="149"/>
      <c r="D33" s="149" t="s">
        <v>245</v>
      </c>
      <c r="E33" s="150" t="s">
        <v>246</v>
      </c>
    </row>
    <row r="34" spans="1:5" ht="15.75" thickBot="1" x14ac:dyDescent="0.3">
      <c r="A34" s="151" t="s">
        <v>235</v>
      </c>
      <c r="B34" s="152"/>
      <c r="C34" s="153"/>
      <c r="D34" s="154">
        <v>0.55000000000000004</v>
      </c>
      <c r="E34" s="155">
        <v>0.45</v>
      </c>
    </row>
  </sheetData>
  <mergeCells count="17">
    <mergeCell ref="B30:E30"/>
    <mergeCell ref="B32:E32"/>
    <mergeCell ref="A30:A32"/>
    <mergeCell ref="A23:A24"/>
    <mergeCell ref="A25:E25"/>
    <mergeCell ref="B23:C23"/>
    <mergeCell ref="D23:E23"/>
    <mergeCell ref="A29:N29"/>
    <mergeCell ref="A22:N22"/>
    <mergeCell ref="A1:R1"/>
    <mergeCell ref="C4:F4"/>
    <mergeCell ref="A4:A5"/>
    <mergeCell ref="B4:B5"/>
    <mergeCell ref="A3:N3"/>
    <mergeCell ref="A11:N11"/>
    <mergeCell ref="A12:A13"/>
    <mergeCell ref="B13:C13"/>
  </mergeCells>
  <pageMargins left="0.7" right="0.7" top="0.75" bottom="0.75" header="0.3" footer="0.3"/>
  <pageSetup paperSize="9" scale="69" orientation="landscape" r:id="rId1"/>
  <colBreaks count="1" manualBreakCount="1">
    <brk id="14" max="1048575" man="1"/>
  </colBreaks>
  <ignoredErrors>
    <ignoredError sqref="A6:B6 A14 B34:C34 B14:C14 B26:D26 B33:C33 D33:E33 E8 C6: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="85" zoomScaleSheetLayoutView="85" workbookViewId="0">
      <selection activeCell="L3" sqref="L3"/>
    </sheetView>
  </sheetViews>
  <sheetFormatPr defaultRowHeight="15" x14ac:dyDescent="0.25"/>
  <cols>
    <col min="1" max="1" width="6.7109375" style="38" customWidth="1"/>
    <col min="2" max="2" width="53.85546875" style="38" customWidth="1"/>
    <col min="3" max="3" width="12.28515625" style="38" customWidth="1"/>
    <col min="4" max="4" width="13.28515625" style="38" customWidth="1"/>
    <col min="5" max="5" width="14.140625" style="38" customWidth="1"/>
    <col min="6" max="18" width="9.140625" style="38"/>
    <col min="19" max="19" width="32.7109375" style="38" customWidth="1"/>
    <col min="20" max="20" width="34.42578125" style="38" customWidth="1"/>
    <col min="21" max="16384" width="9.140625" style="38"/>
  </cols>
  <sheetData>
    <row r="1" spans="1:13" ht="15.75" x14ac:dyDescent="0.25">
      <c r="A1" s="103" t="s">
        <v>231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81" customFormat="1" ht="12.75" x14ac:dyDescent="0.2">
      <c r="A2" s="98" t="s">
        <v>121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4" spans="1:13" x14ac:dyDescent="0.25">
      <c r="A4" s="95" t="s">
        <v>2</v>
      </c>
      <c r="B4" s="95" t="s">
        <v>0</v>
      </c>
      <c r="C4" s="95" t="s">
        <v>1</v>
      </c>
      <c r="D4" s="95"/>
      <c r="E4" s="95"/>
    </row>
    <row r="5" spans="1:13" ht="38.25" x14ac:dyDescent="0.25">
      <c r="A5" s="95"/>
      <c r="B5" s="95"/>
      <c r="C5" s="35" t="s">
        <v>3</v>
      </c>
      <c r="D5" s="35" t="s">
        <v>4</v>
      </c>
      <c r="E5" s="35" t="s">
        <v>5</v>
      </c>
    </row>
    <row r="6" spans="1:13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</row>
    <row r="7" spans="1:13" ht="25.5" customHeight="1" x14ac:dyDescent="0.25">
      <c r="A7" s="95">
        <v>1</v>
      </c>
      <c r="B7" s="102" t="s">
        <v>228</v>
      </c>
      <c r="C7" s="100">
        <v>0.89749999999999996</v>
      </c>
      <c r="D7" s="100">
        <v>5.3788</v>
      </c>
      <c r="E7" s="105">
        <f>(C7-D7)*100/C7</f>
        <v>-499.30919220055711</v>
      </c>
    </row>
    <row r="8" spans="1:13" x14ac:dyDescent="0.25">
      <c r="A8" s="95"/>
      <c r="B8" s="102"/>
      <c r="C8" s="101"/>
      <c r="D8" s="101"/>
      <c r="E8" s="106"/>
    </row>
    <row r="9" spans="1:13" x14ac:dyDescent="0.25">
      <c r="A9" s="82" t="s">
        <v>97</v>
      </c>
      <c r="B9" s="83" t="s">
        <v>6</v>
      </c>
      <c r="C9" s="23" t="s">
        <v>116</v>
      </c>
      <c r="D9" s="23" t="s">
        <v>154</v>
      </c>
      <c r="E9" s="23" t="s">
        <v>116</v>
      </c>
    </row>
    <row r="10" spans="1:13" x14ac:dyDescent="0.25">
      <c r="A10" s="82" t="s">
        <v>98</v>
      </c>
      <c r="B10" s="83" t="s">
        <v>7</v>
      </c>
      <c r="C10" s="23" t="s">
        <v>116</v>
      </c>
      <c r="D10" s="23" t="s">
        <v>154</v>
      </c>
      <c r="E10" s="23" t="s">
        <v>116</v>
      </c>
    </row>
    <row r="11" spans="1:13" x14ac:dyDescent="0.25">
      <c r="A11" s="82" t="s">
        <v>99</v>
      </c>
      <c r="B11" s="83" t="s">
        <v>8</v>
      </c>
      <c r="C11" s="23">
        <v>0.89749999999999996</v>
      </c>
      <c r="D11" s="23">
        <f>D7</f>
        <v>5.3788</v>
      </c>
      <c r="E11" s="104">
        <f>(C11-D11)*100/C11</f>
        <v>-499.30919220055711</v>
      </c>
    </row>
    <row r="12" spans="1:13" x14ac:dyDescent="0.25">
      <c r="A12" s="82" t="s">
        <v>100</v>
      </c>
      <c r="B12" s="83" t="s">
        <v>9</v>
      </c>
      <c r="C12" s="23">
        <v>0.89749999999999996</v>
      </c>
      <c r="D12" s="23">
        <f>D7</f>
        <v>5.3788</v>
      </c>
      <c r="E12" s="104"/>
    </row>
    <row r="13" spans="1:13" ht="25.5" customHeight="1" x14ac:dyDescent="0.25">
      <c r="A13" s="95">
        <v>2</v>
      </c>
      <c r="B13" s="102" t="s">
        <v>227</v>
      </c>
      <c r="C13" s="100">
        <v>0.1242</v>
      </c>
      <c r="D13" s="100">
        <v>2.2427000000000001</v>
      </c>
      <c r="E13" s="100">
        <v>100</v>
      </c>
    </row>
    <row r="14" spans="1:13" x14ac:dyDescent="0.25">
      <c r="A14" s="95"/>
      <c r="B14" s="102"/>
      <c r="C14" s="101"/>
      <c r="D14" s="101"/>
      <c r="E14" s="101"/>
    </row>
    <row r="15" spans="1:13" x14ac:dyDescent="0.25">
      <c r="A15" s="82" t="s">
        <v>101</v>
      </c>
      <c r="B15" s="83" t="s">
        <v>6</v>
      </c>
      <c r="C15" s="23" t="s">
        <v>116</v>
      </c>
      <c r="D15" s="23" t="s">
        <v>116</v>
      </c>
      <c r="E15" s="23" t="s">
        <v>116</v>
      </c>
    </row>
    <row r="16" spans="1:13" x14ac:dyDescent="0.25">
      <c r="A16" s="82" t="s">
        <v>102</v>
      </c>
      <c r="B16" s="83" t="s">
        <v>7</v>
      </c>
      <c r="C16" s="23" t="s">
        <v>116</v>
      </c>
      <c r="D16" s="23" t="s">
        <v>116</v>
      </c>
      <c r="E16" s="23" t="s">
        <v>116</v>
      </c>
    </row>
    <row r="17" spans="1:5" x14ac:dyDescent="0.25">
      <c r="A17" s="82" t="s">
        <v>103</v>
      </c>
      <c r="B17" s="83" t="s">
        <v>8</v>
      </c>
      <c r="C17" s="23">
        <v>0.1242</v>
      </c>
      <c r="D17" s="23">
        <f>D13</f>
        <v>2.2427000000000001</v>
      </c>
      <c r="E17" s="23">
        <v>100</v>
      </c>
    </row>
    <row r="18" spans="1:5" x14ac:dyDescent="0.25">
      <c r="A18" s="82" t="s">
        <v>104</v>
      </c>
      <c r="B18" s="83" t="s">
        <v>9</v>
      </c>
      <c r="C18" s="23">
        <v>0.1242</v>
      </c>
      <c r="D18" s="23">
        <f>D13</f>
        <v>2.2427000000000001</v>
      </c>
      <c r="E18" s="23">
        <v>100</v>
      </c>
    </row>
    <row r="19" spans="1:5" ht="63.75" customHeight="1" x14ac:dyDescent="0.25">
      <c r="A19" s="95">
        <v>3</v>
      </c>
      <c r="B19" s="102" t="s">
        <v>229</v>
      </c>
      <c r="C19" s="100">
        <v>0.57520000000000004</v>
      </c>
      <c r="D19" s="100">
        <v>0.76470000000000005</v>
      </c>
      <c r="E19" s="99">
        <v>100</v>
      </c>
    </row>
    <row r="20" spans="1:5" x14ac:dyDescent="0.25">
      <c r="A20" s="95"/>
      <c r="B20" s="102"/>
      <c r="C20" s="101"/>
      <c r="D20" s="101"/>
      <c r="E20" s="99"/>
    </row>
    <row r="21" spans="1:5" x14ac:dyDescent="0.25">
      <c r="A21" s="82" t="s">
        <v>105</v>
      </c>
      <c r="B21" s="83" t="s">
        <v>6</v>
      </c>
      <c r="C21" s="23" t="s">
        <v>116</v>
      </c>
      <c r="D21" s="23" t="s">
        <v>116</v>
      </c>
      <c r="E21" s="23" t="s">
        <v>116</v>
      </c>
    </row>
    <row r="22" spans="1:5" x14ac:dyDescent="0.25">
      <c r="A22" s="82" t="s">
        <v>106</v>
      </c>
      <c r="B22" s="83" t="s">
        <v>7</v>
      </c>
      <c r="C22" s="23" t="s">
        <v>116</v>
      </c>
      <c r="D22" s="23" t="s">
        <v>116</v>
      </c>
      <c r="E22" s="23" t="s">
        <v>116</v>
      </c>
    </row>
    <row r="23" spans="1:5" x14ac:dyDescent="0.25">
      <c r="A23" s="82" t="s">
        <v>107</v>
      </c>
      <c r="B23" s="83" t="s">
        <v>8</v>
      </c>
      <c r="C23" s="23">
        <v>0.57520000000000004</v>
      </c>
      <c r="D23" s="23">
        <f>D19</f>
        <v>0.76470000000000005</v>
      </c>
      <c r="E23" s="23">
        <v>100</v>
      </c>
    </row>
    <row r="24" spans="1:5" x14ac:dyDescent="0.25">
      <c r="A24" s="82" t="s">
        <v>108</v>
      </c>
      <c r="B24" s="83" t="s">
        <v>9</v>
      </c>
      <c r="C24" s="23">
        <v>0.57520000000000004</v>
      </c>
      <c r="D24" s="23">
        <f>D19</f>
        <v>0.76470000000000005</v>
      </c>
      <c r="E24" s="23">
        <v>100</v>
      </c>
    </row>
    <row r="25" spans="1:5" ht="63.75" customHeight="1" x14ac:dyDescent="0.25">
      <c r="A25" s="95">
        <v>4</v>
      </c>
      <c r="B25" s="102" t="s">
        <v>230</v>
      </c>
      <c r="C25" s="100">
        <v>0</v>
      </c>
      <c r="D25" s="100">
        <f>D13</f>
        <v>2.2427000000000001</v>
      </c>
      <c r="E25" s="99">
        <v>0</v>
      </c>
    </row>
    <row r="26" spans="1:5" x14ac:dyDescent="0.25">
      <c r="A26" s="95"/>
      <c r="B26" s="102"/>
      <c r="C26" s="101"/>
      <c r="D26" s="101"/>
      <c r="E26" s="99"/>
    </row>
    <row r="27" spans="1:5" x14ac:dyDescent="0.25">
      <c r="A27" s="82" t="s">
        <v>109</v>
      </c>
      <c r="B27" s="83" t="s">
        <v>6</v>
      </c>
      <c r="C27" s="23" t="s">
        <v>116</v>
      </c>
      <c r="D27" s="23" t="s">
        <v>116</v>
      </c>
      <c r="E27" s="23" t="s">
        <v>116</v>
      </c>
    </row>
    <row r="28" spans="1:5" x14ac:dyDescent="0.25">
      <c r="A28" s="82" t="s">
        <v>110</v>
      </c>
      <c r="B28" s="83" t="s">
        <v>7</v>
      </c>
      <c r="C28" s="23" t="s">
        <v>116</v>
      </c>
      <c r="D28" s="23" t="s">
        <v>116</v>
      </c>
      <c r="E28" s="23" t="s">
        <v>116</v>
      </c>
    </row>
    <row r="29" spans="1:5" x14ac:dyDescent="0.25">
      <c r="A29" s="82" t="s">
        <v>111</v>
      </c>
      <c r="B29" s="83" t="s">
        <v>8</v>
      </c>
      <c r="C29" s="23" t="s">
        <v>116</v>
      </c>
      <c r="D29" s="23">
        <f>D25</f>
        <v>2.2427000000000001</v>
      </c>
      <c r="E29" s="23" t="s">
        <v>116</v>
      </c>
    </row>
    <row r="30" spans="1:5" x14ac:dyDescent="0.25">
      <c r="A30" s="82" t="s">
        <v>112</v>
      </c>
      <c r="B30" s="83" t="s">
        <v>9</v>
      </c>
      <c r="C30" s="23" t="s">
        <v>116</v>
      </c>
      <c r="D30" s="23">
        <f>D25</f>
        <v>2.2427000000000001</v>
      </c>
      <c r="E30" s="23" t="s">
        <v>116</v>
      </c>
    </row>
    <row r="31" spans="1:5" ht="38.25" x14ac:dyDescent="0.25">
      <c r="A31" s="35">
        <v>5</v>
      </c>
      <c r="B31" s="36" t="s">
        <v>10</v>
      </c>
      <c r="C31" s="23">
        <v>0</v>
      </c>
      <c r="D31" s="23">
        <v>0</v>
      </c>
      <c r="E31" s="23">
        <v>0</v>
      </c>
    </row>
    <row r="32" spans="1:5" ht="51" x14ac:dyDescent="0.25">
      <c r="A32" s="82" t="s">
        <v>113</v>
      </c>
      <c r="B32" s="36" t="s">
        <v>11</v>
      </c>
      <c r="C32" s="23">
        <v>0</v>
      </c>
      <c r="D32" s="23">
        <v>0</v>
      </c>
      <c r="E32" s="23">
        <v>0</v>
      </c>
    </row>
    <row r="34" spans="1:20" s="84" customFormat="1" ht="12.75" x14ac:dyDescent="0.2">
      <c r="A34" s="93" t="s">
        <v>119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x14ac:dyDescent="0.25">
      <c r="A35" s="85"/>
    </row>
    <row r="36" spans="1:20" ht="133.5" customHeight="1" x14ac:dyDescent="0.25">
      <c r="A36" s="95" t="s">
        <v>2</v>
      </c>
      <c r="B36" s="95" t="s">
        <v>12</v>
      </c>
      <c r="C36" s="95" t="s">
        <v>13</v>
      </c>
      <c r="D36" s="95"/>
      <c r="E36" s="95"/>
      <c r="F36" s="95"/>
      <c r="G36" s="95" t="s">
        <v>14</v>
      </c>
      <c r="H36" s="95"/>
      <c r="I36" s="95"/>
      <c r="J36" s="95"/>
      <c r="K36" s="95" t="s">
        <v>15</v>
      </c>
      <c r="L36" s="95"/>
      <c r="M36" s="95"/>
      <c r="N36" s="95"/>
      <c r="O36" s="95" t="s">
        <v>16</v>
      </c>
      <c r="P36" s="95"/>
      <c r="Q36" s="95"/>
      <c r="R36" s="95"/>
      <c r="S36" s="95" t="s">
        <v>17</v>
      </c>
      <c r="T36" s="95" t="s">
        <v>18</v>
      </c>
    </row>
    <row r="37" spans="1:20" ht="33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x14ac:dyDescent="0.25">
      <c r="A38" s="95"/>
      <c r="B38" s="95"/>
      <c r="C38" s="35" t="s">
        <v>19</v>
      </c>
      <c r="D38" s="35" t="s">
        <v>20</v>
      </c>
      <c r="E38" s="35" t="s">
        <v>21</v>
      </c>
      <c r="F38" s="35" t="s">
        <v>22</v>
      </c>
      <c r="G38" s="35" t="s">
        <v>19</v>
      </c>
      <c r="H38" s="35" t="s">
        <v>20</v>
      </c>
      <c r="I38" s="35" t="s">
        <v>21</v>
      </c>
      <c r="J38" s="35" t="s">
        <v>22</v>
      </c>
      <c r="K38" s="35" t="s">
        <v>19</v>
      </c>
      <c r="L38" s="35" t="s">
        <v>20</v>
      </c>
      <c r="M38" s="35" t="s">
        <v>21</v>
      </c>
      <c r="N38" s="35" t="s">
        <v>22</v>
      </c>
      <c r="O38" s="35" t="s">
        <v>19</v>
      </c>
      <c r="P38" s="35" t="s">
        <v>20</v>
      </c>
      <c r="Q38" s="35" t="s">
        <v>21</v>
      </c>
      <c r="R38" s="35" t="s">
        <v>22</v>
      </c>
      <c r="S38" s="95"/>
      <c r="T38" s="95"/>
    </row>
    <row r="39" spans="1:20" ht="12" customHeight="1" x14ac:dyDescent="0.25">
      <c r="A39" s="35">
        <v>1</v>
      </c>
      <c r="B39" s="35">
        <v>2</v>
      </c>
      <c r="C39" s="35">
        <v>3</v>
      </c>
      <c r="D39" s="35">
        <v>4</v>
      </c>
      <c r="E39" s="35">
        <v>5</v>
      </c>
      <c r="F39" s="35">
        <v>6</v>
      </c>
      <c r="G39" s="35">
        <v>7</v>
      </c>
      <c r="H39" s="35">
        <v>8</v>
      </c>
      <c r="I39" s="35">
        <v>9</v>
      </c>
      <c r="J39" s="35">
        <v>10</v>
      </c>
      <c r="K39" s="35">
        <v>11</v>
      </c>
      <c r="L39" s="35">
        <v>12</v>
      </c>
      <c r="M39" s="35">
        <v>13</v>
      </c>
      <c r="N39" s="35">
        <v>14</v>
      </c>
      <c r="O39" s="35">
        <v>15</v>
      </c>
      <c r="P39" s="35">
        <v>16</v>
      </c>
      <c r="Q39" s="35">
        <v>17</v>
      </c>
      <c r="R39" s="35">
        <v>18</v>
      </c>
      <c r="S39" s="35">
        <v>19</v>
      </c>
      <c r="T39" s="35">
        <v>20</v>
      </c>
    </row>
    <row r="40" spans="1:20" x14ac:dyDescent="0.25">
      <c r="A40" s="35">
        <v>1</v>
      </c>
      <c r="B40" s="40" t="s">
        <v>244</v>
      </c>
      <c r="C40" s="35"/>
      <c r="D40" s="35"/>
      <c r="E40" s="35">
        <f>D7</f>
        <v>5.3788</v>
      </c>
      <c r="F40" s="35">
        <f>D12</f>
        <v>5.3788</v>
      </c>
      <c r="G40" s="35"/>
      <c r="H40" s="35"/>
      <c r="I40" s="35">
        <f>D17</f>
        <v>2.2427000000000001</v>
      </c>
      <c r="J40" s="35">
        <f>D18</f>
        <v>2.2427000000000001</v>
      </c>
      <c r="K40" s="35"/>
      <c r="L40" s="35"/>
      <c r="M40" s="35">
        <f>D23</f>
        <v>0.76470000000000005</v>
      </c>
      <c r="N40" s="35">
        <f>D24</f>
        <v>0.76470000000000005</v>
      </c>
      <c r="O40" s="35"/>
      <c r="P40" s="35"/>
      <c r="Q40" s="35">
        <v>0</v>
      </c>
      <c r="R40" s="35">
        <v>0</v>
      </c>
      <c r="S40" s="35">
        <v>0.89749999999999996</v>
      </c>
      <c r="T40" s="35">
        <v>0</v>
      </c>
    </row>
    <row r="41" spans="1:20" x14ac:dyDescent="0.25">
      <c r="A41" s="35" t="s">
        <v>23</v>
      </c>
      <c r="B41" s="40" t="s">
        <v>24</v>
      </c>
      <c r="C41" s="23">
        <f>C40</f>
        <v>0</v>
      </c>
      <c r="D41" s="23">
        <f t="shared" ref="D41:T41" si="0">D40</f>
        <v>0</v>
      </c>
      <c r="E41" s="23">
        <f t="shared" si="0"/>
        <v>5.3788</v>
      </c>
      <c r="F41" s="23">
        <f t="shared" si="0"/>
        <v>5.3788</v>
      </c>
      <c r="G41" s="23">
        <f t="shared" si="0"/>
        <v>0</v>
      </c>
      <c r="H41" s="23">
        <f t="shared" si="0"/>
        <v>0</v>
      </c>
      <c r="I41" s="23">
        <f t="shared" si="0"/>
        <v>2.2427000000000001</v>
      </c>
      <c r="J41" s="23">
        <f t="shared" si="0"/>
        <v>2.2427000000000001</v>
      </c>
      <c r="K41" s="23">
        <f t="shared" si="0"/>
        <v>0</v>
      </c>
      <c r="L41" s="23">
        <f t="shared" si="0"/>
        <v>0</v>
      </c>
      <c r="M41" s="23">
        <f t="shared" si="0"/>
        <v>0.76470000000000005</v>
      </c>
      <c r="N41" s="23">
        <f t="shared" si="0"/>
        <v>0.76470000000000005</v>
      </c>
      <c r="O41" s="23">
        <f t="shared" si="0"/>
        <v>0</v>
      </c>
      <c r="P41" s="23">
        <f t="shared" si="0"/>
        <v>0</v>
      </c>
      <c r="Q41" s="23">
        <f t="shared" si="0"/>
        <v>0</v>
      </c>
      <c r="R41" s="23">
        <f t="shared" si="0"/>
        <v>0</v>
      </c>
      <c r="S41" s="23">
        <f t="shared" si="0"/>
        <v>0.89749999999999996</v>
      </c>
      <c r="T41" s="23">
        <f t="shared" si="0"/>
        <v>0</v>
      </c>
    </row>
    <row r="42" spans="1:20" x14ac:dyDescent="0.25">
      <c r="A42" s="85"/>
    </row>
    <row r="43" spans="1:20" x14ac:dyDescent="0.25">
      <c r="A43" s="93" t="s">
        <v>127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x14ac:dyDescent="0.25">
      <c r="A44" s="96" t="s">
        <v>128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x14ac:dyDescent="0.25">
      <c r="A45" s="96" t="s">
        <v>129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x14ac:dyDescent="0.25">
      <c r="A46" s="96" t="s">
        <v>130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1:20" x14ac:dyDescent="0.25">
      <c r="A47" s="93" t="s">
        <v>25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</sheetData>
  <mergeCells count="40">
    <mergeCell ref="B25:B26"/>
    <mergeCell ref="A1:M1"/>
    <mergeCell ref="A4:A5"/>
    <mergeCell ref="B4:B5"/>
    <mergeCell ref="C4:E4"/>
    <mergeCell ref="A7:A8"/>
    <mergeCell ref="B7:B8"/>
    <mergeCell ref="E11:E12"/>
    <mergeCell ref="E7:E8"/>
    <mergeCell ref="C25:C26"/>
    <mergeCell ref="D25:D26"/>
    <mergeCell ref="A34:T34"/>
    <mergeCell ref="A2:M2"/>
    <mergeCell ref="A25:A26"/>
    <mergeCell ref="E25:E26"/>
    <mergeCell ref="A13:A14"/>
    <mergeCell ref="E13:E14"/>
    <mergeCell ref="A19:A20"/>
    <mergeCell ref="E19:E20"/>
    <mergeCell ref="B13:B14"/>
    <mergeCell ref="B19:B20"/>
    <mergeCell ref="C7:C8"/>
    <mergeCell ref="D7:D8"/>
    <mergeCell ref="C13:C14"/>
    <mergeCell ref="D13:D14"/>
    <mergeCell ref="C19:C20"/>
    <mergeCell ref="D19:D20"/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</mergeCells>
  <pageMargins left="0.7" right="0.7" top="0.75" bottom="0.75" header="0.3" footer="0.3"/>
  <pageSetup paperSize="9" scale="2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view="pageBreakPreview" zoomScale="85" zoomScaleSheetLayoutView="85" workbookViewId="0">
      <selection activeCell="O1" sqref="O1"/>
    </sheetView>
  </sheetViews>
  <sheetFormatPr defaultRowHeight="15" x14ac:dyDescent="0.25"/>
  <cols>
    <col min="1" max="1" width="5" style="1" customWidth="1"/>
    <col min="2" max="2" width="34.7109375" style="1" customWidth="1"/>
    <col min="3" max="4" width="9.140625" style="1"/>
    <col min="5" max="8" width="11.42578125" style="1" customWidth="1"/>
    <col min="9" max="9" width="13.7109375" style="1" customWidth="1"/>
    <col min="10" max="12" width="11.42578125" style="1" customWidth="1"/>
    <col min="13" max="13" width="10" style="1" customWidth="1"/>
    <col min="14" max="14" width="11.140625" style="1" customWidth="1"/>
    <col min="15" max="15" width="11" style="1" customWidth="1"/>
    <col min="16" max="16" width="9.140625" style="1"/>
    <col min="17" max="17" width="11" style="1" customWidth="1"/>
    <col min="18" max="18" width="9.140625" style="1"/>
    <col min="19" max="19" width="10.7109375" style="1" customWidth="1"/>
    <col min="20" max="16384" width="9.140625" style="1"/>
  </cols>
  <sheetData>
    <row r="1" spans="1:22" s="3" customFormat="1" ht="15.75" x14ac:dyDescent="0.25">
      <c r="A1" s="131" t="s">
        <v>120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22" x14ac:dyDescent="0.25">
      <c r="A2" s="132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22" ht="56.25" customHeight="1" x14ac:dyDescent="0.25">
      <c r="A3" s="126" t="s">
        <v>122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128"/>
      <c r="P3" s="128"/>
      <c r="Q3" s="128"/>
      <c r="R3" s="128"/>
    </row>
    <row r="4" spans="1:22" x14ac:dyDescent="0.25">
      <c r="A4" s="126" t="s">
        <v>124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  <c r="O4" s="128"/>
      <c r="P4" s="128"/>
      <c r="Q4" s="128"/>
      <c r="R4" s="128"/>
    </row>
    <row r="5" spans="1:22" x14ac:dyDescent="0.25">
      <c r="A5" s="129" t="s">
        <v>126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2" x14ac:dyDescent="0.25">
      <c r="A6" s="129" t="s">
        <v>123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22" x14ac:dyDescent="0.25">
      <c r="A7" s="129" t="s">
        <v>125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22" x14ac:dyDescent="0.25">
      <c r="A8" s="126" t="s">
        <v>27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28"/>
      <c r="P8" s="128"/>
      <c r="Q8" s="128"/>
      <c r="R8" s="128"/>
    </row>
    <row r="9" spans="1:22" x14ac:dyDescent="0.25">
      <c r="A9" s="126" t="s">
        <v>28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22" x14ac:dyDescent="0.25">
      <c r="A10" s="2"/>
    </row>
    <row r="11" spans="1:22" x14ac:dyDescent="0.25">
      <c r="A11" s="111" t="s">
        <v>2</v>
      </c>
      <c r="B11" s="111" t="s">
        <v>0</v>
      </c>
      <c r="C11" s="111" t="s">
        <v>29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4" t="s">
        <v>30</v>
      </c>
    </row>
    <row r="12" spans="1:22" ht="25.5" customHeight="1" x14ac:dyDescent="0.25">
      <c r="A12" s="111"/>
      <c r="B12" s="111"/>
      <c r="C12" s="111" t="s">
        <v>31</v>
      </c>
      <c r="D12" s="111"/>
      <c r="E12" s="111"/>
      <c r="F12" s="111" t="s">
        <v>32</v>
      </c>
      <c r="G12" s="111"/>
      <c r="H12" s="111"/>
      <c r="I12" s="111" t="s">
        <v>33</v>
      </c>
      <c r="J12" s="111"/>
      <c r="K12" s="111"/>
      <c r="L12" s="111" t="s">
        <v>34</v>
      </c>
      <c r="M12" s="111"/>
      <c r="N12" s="111"/>
      <c r="O12" s="111" t="s">
        <v>35</v>
      </c>
      <c r="P12" s="111"/>
      <c r="Q12" s="111"/>
      <c r="R12" s="115"/>
    </row>
    <row r="13" spans="1:22" ht="51" x14ac:dyDescent="0.25">
      <c r="A13" s="111"/>
      <c r="B13" s="111"/>
      <c r="C13" s="16" t="s">
        <v>3</v>
      </c>
      <c r="D13" s="16" t="s">
        <v>4</v>
      </c>
      <c r="E13" s="25" t="s">
        <v>36</v>
      </c>
      <c r="F13" s="16" t="s">
        <v>3</v>
      </c>
      <c r="G13" s="16" t="s">
        <v>4</v>
      </c>
      <c r="H13" s="25" t="s">
        <v>36</v>
      </c>
      <c r="I13" s="16" t="s">
        <v>3</v>
      </c>
      <c r="J13" s="16" t="s">
        <v>4</v>
      </c>
      <c r="K13" s="16" t="s">
        <v>36</v>
      </c>
      <c r="L13" s="16" t="s">
        <v>3</v>
      </c>
      <c r="M13" s="16" t="s">
        <v>4</v>
      </c>
      <c r="N13" s="16" t="s">
        <v>36</v>
      </c>
      <c r="O13" s="16" t="s">
        <v>3</v>
      </c>
      <c r="P13" s="16" t="s">
        <v>4</v>
      </c>
      <c r="Q13" s="16" t="s">
        <v>36</v>
      </c>
      <c r="R13" s="116"/>
      <c r="T13" s="29"/>
      <c r="U13" s="29"/>
      <c r="V13" s="29"/>
    </row>
    <row r="14" spans="1:22" x14ac:dyDescent="0.25">
      <c r="A14" s="16">
        <v>1</v>
      </c>
      <c r="B14" s="16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T14" s="29"/>
      <c r="U14" s="29"/>
      <c r="V14" s="29"/>
    </row>
    <row r="15" spans="1:22" s="38" customFormat="1" ht="38.25" x14ac:dyDescent="0.25">
      <c r="A15" s="35">
        <v>1</v>
      </c>
      <c r="B15" s="36" t="s">
        <v>37</v>
      </c>
      <c r="C15" s="23">
        <v>2</v>
      </c>
      <c r="D15" s="37">
        <v>65</v>
      </c>
      <c r="E15" s="28">
        <f>(D15-C15)/C15*100</f>
        <v>3150</v>
      </c>
      <c r="F15" s="23">
        <v>5</v>
      </c>
      <c r="G15" s="37">
        <v>13</v>
      </c>
      <c r="H15" s="28">
        <f>(G15-F15)/F15*100</f>
        <v>160</v>
      </c>
      <c r="I15" s="23">
        <v>2</v>
      </c>
      <c r="J15" s="37">
        <v>2</v>
      </c>
      <c r="K15" s="28">
        <f>(J15-I15)/I15*100</f>
        <v>0</v>
      </c>
      <c r="L15" s="23">
        <v>0</v>
      </c>
      <c r="M15" s="37">
        <v>1</v>
      </c>
      <c r="N15" s="28">
        <v>100</v>
      </c>
      <c r="O15" s="23">
        <v>0</v>
      </c>
      <c r="P15" s="23">
        <v>0</v>
      </c>
      <c r="Q15" s="23">
        <v>0</v>
      </c>
      <c r="R15" s="23">
        <v>81</v>
      </c>
      <c r="T15" s="30"/>
      <c r="U15" s="30"/>
      <c r="V15" s="31"/>
    </row>
    <row r="16" spans="1:22" ht="63.75" x14ac:dyDescent="0.25">
      <c r="A16" s="16">
        <v>2</v>
      </c>
      <c r="B16" s="17" t="s">
        <v>38</v>
      </c>
      <c r="C16" s="23">
        <v>1</v>
      </c>
      <c r="D16" s="37">
        <v>65</v>
      </c>
      <c r="E16" s="28">
        <f>(D16-C16)/C16*100</f>
        <v>6400</v>
      </c>
      <c r="F16" s="23">
        <v>4</v>
      </c>
      <c r="G16" s="37">
        <v>11</v>
      </c>
      <c r="H16" s="28">
        <f>(G16-F16)/F16*100</f>
        <v>175</v>
      </c>
      <c r="I16" s="23">
        <v>2</v>
      </c>
      <c r="J16" s="37">
        <v>2</v>
      </c>
      <c r="K16" s="28">
        <f>(J16-I16)/I16*100</f>
        <v>0</v>
      </c>
      <c r="L16" s="23">
        <v>0</v>
      </c>
      <c r="M16" s="37">
        <v>1</v>
      </c>
      <c r="N16" s="28">
        <v>100</v>
      </c>
      <c r="O16" s="23">
        <v>0</v>
      </c>
      <c r="P16" s="23">
        <v>0</v>
      </c>
      <c r="Q16" s="23">
        <v>0</v>
      </c>
      <c r="R16" s="26">
        <f>D16+G16+J16+M16+P16</f>
        <v>79</v>
      </c>
      <c r="T16" s="30"/>
      <c r="U16" s="30"/>
      <c r="V16" s="31"/>
    </row>
    <row r="17" spans="1:22" ht="102" x14ac:dyDescent="0.25">
      <c r="A17" s="16">
        <v>3</v>
      </c>
      <c r="B17" s="17" t="s">
        <v>39</v>
      </c>
      <c r="C17" s="23">
        <v>0</v>
      </c>
      <c r="D17" s="37">
        <v>0</v>
      </c>
      <c r="E17" s="28">
        <v>0</v>
      </c>
      <c r="F17" s="23">
        <v>0</v>
      </c>
      <c r="G17" s="37">
        <v>0</v>
      </c>
      <c r="H17" s="28">
        <v>0</v>
      </c>
      <c r="I17" s="23">
        <v>0</v>
      </c>
      <c r="J17" s="37">
        <v>0</v>
      </c>
      <c r="K17" s="28">
        <v>0</v>
      </c>
      <c r="L17" s="23">
        <v>0</v>
      </c>
      <c r="M17" s="37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T17" s="30"/>
      <c r="U17" s="30"/>
      <c r="V17" s="31"/>
    </row>
    <row r="18" spans="1:22" x14ac:dyDescent="0.25">
      <c r="A18" s="18" t="s">
        <v>105</v>
      </c>
      <c r="B18" s="17" t="s">
        <v>40</v>
      </c>
      <c r="C18" s="23">
        <v>0</v>
      </c>
      <c r="D18" s="39">
        <v>0</v>
      </c>
      <c r="E18" s="28">
        <v>0</v>
      </c>
      <c r="F18" s="23">
        <v>0</v>
      </c>
      <c r="G18" s="39">
        <v>0</v>
      </c>
      <c r="H18" s="28">
        <v>0</v>
      </c>
      <c r="I18" s="23">
        <v>0</v>
      </c>
      <c r="J18" s="39">
        <v>0</v>
      </c>
      <c r="K18" s="28">
        <v>0</v>
      </c>
      <c r="L18" s="23">
        <v>0</v>
      </c>
      <c r="M18" s="39">
        <v>0</v>
      </c>
      <c r="N18" s="23">
        <v>0</v>
      </c>
      <c r="O18" s="23">
        <v>0</v>
      </c>
      <c r="P18" s="23">
        <v>0</v>
      </c>
      <c r="Q18" s="23">
        <v>0</v>
      </c>
      <c r="R18" s="39">
        <v>0</v>
      </c>
      <c r="T18" s="30"/>
      <c r="U18" s="30"/>
      <c r="V18" s="31"/>
    </row>
    <row r="19" spans="1:22" x14ac:dyDescent="0.25">
      <c r="A19" s="18" t="s">
        <v>106</v>
      </c>
      <c r="B19" s="17" t="s">
        <v>41</v>
      </c>
      <c r="C19" s="23">
        <v>0</v>
      </c>
      <c r="D19" s="39">
        <v>0</v>
      </c>
      <c r="E19" s="28">
        <v>0</v>
      </c>
      <c r="F19" s="23">
        <v>0</v>
      </c>
      <c r="G19" s="39">
        <v>0</v>
      </c>
      <c r="H19" s="28">
        <v>0</v>
      </c>
      <c r="I19" s="23">
        <v>0</v>
      </c>
      <c r="J19" s="39">
        <v>0</v>
      </c>
      <c r="K19" s="28">
        <v>0</v>
      </c>
      <c r="L19" s="23">
        <v>0</v>
      </c>
      <c r="M19" s="39">
        <v>0</v>
      </c>
      <c r="N19" s="23">
        <v>0</v>
      </c>
      <c r="O19" s="23">
        <v>0</v>
      </c>
      <c r="P19" s="23">
        <v>0</v>
      </c>
      <c r="Q19" s="23">
        <v>0</v>
      </c>
      <c r="R19" s="39">
        <v>0</v>
      </c>
      <c r="T19" s="30"/>
      <c r="U19" s="30"/>
      <c r="V19" s="31"/>
    </row>
    <row r="20" spans="1:22" s="38" customFormat="1" ht="63.75" x14ac:dyDescent="0.25">
      <c r="A20" s="35">
        <v>4</v>
      </c>
      <c r="B20" s="40" t="s">
        <v>42</v>
      </c>
      <c r="C20" s="23">
        <v>1</v>
      </c>
      <c r="D20" s="37">
        <v>4</v>
      </c>
      <c r="E20" s="28">
        <f>(D20-C20)/C20*100</f>
        <v>300</v>
      </c>
      <c r="F20" s="23">
        <v>4</v>
      </c>
      <c r="G20" s="37">
        <v>4</v>
      </c>
      <c r="H20" s="28">
        <f>(G20-F20)/F20*100</f>
        <v>0</v>
      </c>
      <c r="I20" s="23">
        <v>2</v>
      </c>
      <c r="J20" s="37">
        <v>4</v>
      </c>
      <c r="K20" s="28">
        <f>(J20-I20)/I20*100</f>
        <v>100</v>
      </c>
      <c r="L20" s="23">
        <v>0</v>
      </c>
      <c r="M20" s="37">
        <v>4</v>
      </c>
      <c r="N20" s="28">
        <v>100</v>
      </c>
      <c r="O20" s="23">
        <v>0</v>
      </c>
      <c r="P20" s="23">
        <v>0</v>
      </c>
      <c r="Q20" s="23">
        <v>0</v>
      </c>
      <c r="R20" s="23">
        <v>4</v>
      </c>
      <c r="T20" s="30"/>
      <c r="U20" s="30"/>
      <c r="V20" s="31"/>
    </row>
    <row r="21" spans="1:22" ht="51" x14ac:dyDescent="0.25">
      <c r="A21" s="16">
        <v>5</v>
      </c>
      <c r="B21" s="17" t="s">
        <v>43</v>
      </c>
      <c r="C21" s="23">
        <v>1</v>
      </c>
      <c r="D21" s="37">
        <v>50</v>
      </c>
      <c r="E21" s="28">
        <f>(D21-C21)/C21*100</f>
        <v>4900</v>
      </c>
      <c r="F21" s="23">
        <v>4</v>
      </c>
      <c r="G21" s="37">
        <v>10</v>
      </c>
      <c r="H21" s="28">
        <f>(G21-F21)/F21*100</f>
        <v>150</v>
      </c>
      <c r="I21" s="23">
        <v>2</v>
      </c>
      <c r="J21" s="37">
        <v>2</v>
      </c>
      <c r="K21" s="28">
        <f>(J21-I21)/I21*100</f>
        <v>0</v>
      </c>
      <c r="L21" s="23">
        <v>0</v>
      </c>
      <c r="M21" s="37">
        <v>1</v>
      </c>
      <c r="N21" s="28">
        <v>100</v>
      </c>
      <c r="O21" s="23">
        <v>0</v>
      </c>
      <c r="P21" s="26">
        <v>0</v>
      </c>
      <c r="Q21" s="26">
        <v>0</v>
      </c>
      <c r="R21" s="26">
        <f>D21+G21+J21+M21</f>
        <v>63</v>
      </c>
      <c r="T21" s="30"/>
      <c r="U21" s="30"/>
      <c r="V21" s="31"/>
    </row>
    <row r="22" spans="1:22" ht="51" x14ac:dyDescent="0.25">
      <c r="A22" s="16">
        <v>6</v>
      </c>
      <c r="B22" s="17" t="s">
        <v>44</v>
      </c>
      <c r="C22" s="23">
        <v>1</v>
      </c>
      <c r="D22" s="37">
        <v>35</v>
      </c>
      <c r="E22" s="28">
        <f>(D22-C22)/C22*100</f>
        <v>3400</v>
      </c>
      <c r="F22" s="23">
        <v>3</v>
      </c>
      <c r="G22" s="37">
        <v>7</v>
      </c>
      <c r="H22" s="28">
        <f>(G22-F22)/F22*100</f>
        <v>133.33333333333331</v>
      </c>
      <c r="I22" s="23">
        <v>2</v>
      </c>
      <c r="J22" s="37">
        <v>2</v>
      </c>
      <c r="K22" s="28">
        <f>(J22-I22)/I22*100</f>
        <v>0</v>
      </c>
      <c r="L22" s="23">
        <v>0</v>
      </c>
      <c r="M22" s="37">
        <v>1</v>
      </c>
      <c r="N22" s="28">
        <v>100</v>
      </c>
      <c r="O22" s="23">
        <v>0</v>
      </c>
      <c r="P22" s="26">
        <v>0</v>
      </c>
      <c r="Q22" s="26">
        <v>0</v>
      </c>
      <c r="R22" s="26">
        <f>D22+G22+J22+M22</f>
        <v>45</v>
      </c>
      <c r="T22" s="30"/>
      <c r="U22" s="30"/>
      <c r="V22" s="31"/>
    </row>
    <row r="23" spans="1:22" ht="89.25" x14ac:dyDescent="0.25">
      <c r="A23" s="16">
        <v>7</v>
      </c>
      <c r="B23" s="17" t="s">
        <v>45</v>
      </c>
      <c r="C23" s="23">
        <v>0</v>
      </c>
      <c r="D23" s="37">
        <v>0</v>
      </c>
      <c r="E23" s="28">
        <v>0</v>
      </c>
      <c r="F23" s="23">
        <v>0</v>
      </c>
      <c r="G23" s="37">
        <v>0</v>
      </c>
      <c r="H23" s="28">
        <v>0</v>
      </c>
      <c r="I23" s="23">
        <v>0</v>
      </c>
      <c r="J23" s="37">
        <v>0</v>
      </c>
      <c r="K23" s="28">
        <v>0</v>
      </c>
      <c r="L23" s="23">
        <v>0</v>
      </c>
      <c r="M23" s="37">
        <v>0</v>
      </c>
      <c r="N23" s="28">
        <v>0</v>
      </c>
      <c r="O23" s="23">
        <v>0</v>
      </c>
      <c r="P23" s="26">
        <v>0</v>
      </c>
      <c r="Q23" s="26">
        <v>0</v>
      </c>
      <c r="R23" s="26">
        <v>0</v>
      </c>
      <c r="T23" s="30"/>
      <c r="U23" s="30"/>
      <c r="V23" s="31"/>
    </row>
    <row r="24" spans="1:22" x14ac:dyDescent="0.25">
      <c r="A24" s="18" t="s">
        <v>114</v>
      </c>
      <c r="B24" s="17" t="s">
        <v>40</v>
      </c>
      <c r="C24" s="23">
        <v>0</v>
      </c>
      <c r="D24" s="39">
        <v>0</v>
      </c>
      <c r="E24" s="28">
        <v>0</v>
      </c>
      <c r="F24" s="23">
        <v>0</v>
      </c>
      <c r="G24" s="39">
        <v>0</v>
      </c>
      <c r="H24" s="28">
        <v>0</v>
      </c>
      <c r="I24" s="23">
        <v>0</v>
      </c>
      <c r="J24" s="39">
        <v>0</v>
      </c>
      <c r="K24" s="28">
        <v>0</v>
      </c>
      <c r="L24" s="23">
        <v>0</v>
      </c>
      <c r="M24" s="39">
        <v>0</v>
      </c>
      <c r="N24" s="28">
        <v>0</v>
      </c>
      <c r="O24" s="23">
        <v>0</v>
      </c>
      <c r="P24" s="26">
        <v>0</v>
      </c>
      <c r="Q24" s="26">
        <v>0</v>
      </c>
      <c r="R24" s="26">
        <v>0</v>
      </c>
      <c r="T24" s="30"/>
      <c r="U24" s="30"/>
      <c r="V24" s="31"/>
    </row>
    <row r="25" spans="1:22" x14ac:dyDescent="0.25">
      <c r="A25" s="18" t="s">
        <v>115</v>
      </c>
      <c r="B25" s="17" t="s">
        <v>46</v>
      </c>
      <c r="C25" s="23">
        <v>0</v>
      </c>
      <c r="D25" s="39">
        <v>0</v>
      </c>
      <c r="E25" s="28">
        <v>0</v>
      </c>
      <c r="F25" s="23">
        <v>0</v>
      </c>
      <c r="G25" s="39">
        <v>0</v>
      </c>
      <c r="H25" s="28">
        <v>0</v>
      </c>
      <c r="I25" s="23">
        <v>0</v>
      </c>
      <c r="J25" s="39">
        <v>0</v>
      </c>
      <c r="K25" s="28">
        <v>0</v>
      </c>
      <c r="L25" s="23">
        <v>0</v>
      </c>
      <c r="M25" s="39">
        <v>0</v>
      </c>
      <c r="N25" s="28">
        <v>0</v>
      </c>
      <c r="O25" s="23">
        <v>0</v>
      </c>
      <c r="P25" s="26">
        <v>0</v>
      </c>
      <c r="Q25" s="26">
        <v>0</v>
      </c>
      <c r="R25" s="26">
        <v>0</v>
      </c>
      <c r="T25" s="30"/>
      <c r="U25" s="30"/>
      <c r="V25" s="31"/>
    </row>
    <row r="26" spans="1:22" ht="51" x14ac:dyDescent="0.25">
      <c r="A26" s="16">
        <v>8</v>
      </c>
      <c r="B26" s="17" t="s">
        <v>47</v>
      </c>
      <c r="C26" s="23">
        <v>1</v>
      </c>
      <c r="D26" s="37">
        <v>365</v>
      </c>
      <c r="E26" s="28">
        <f>(D26-C26)/C26*100</f>
        <v>36400</v>
      </c>
      <c r="F26" s="23">
        <v>4</v>
      </c>
      <c r="G26" s="37">
        <v>365</v>
      </c>
      <c r="H26" s="28">
        <f>(G26-F26)/F26*100</f>
        <v>9025</v>
      </c>
      <c r="I26" s="23">
        <v>2</v>
      </c>
      <c r="J26" s="37">
        <v>365</v>
      </c>
      <c r="K26" s="28">
        <f>(J26-I26)/I26*100</f>
        <v>18150</v>
      </c>
      <c r="L26" s="23">
        <v>0</v>
      </c>
      <c r="M26" s="37">
        <v>365</v>
      </c>
      <c r="N26" s="28">
        <v>100</v>
      </c>
      <c r="O26" s="23">
        <v>0</v>
      </c>
      <c r="P26" s="26">
        <v>0</v>
      </c>
      <c r="Q26" s="26">
        <v>0</v>
      </c>
      <c r="R26" s="37">
        <v>365</v>
      </c>
      <c r="T26" s="30"/>
      <c r="U26" s="30"/>
      <c r="V26" s="31"/>
    </row>
    <row r="27" spans="1:22" x14ac:dyDescent="0.25">
      <c r="A27" s="2"/>
    </row>
    <row r="28" spans="1:22" ht="33.75" customHeight="1" x14ac:dyDescent="0.25">
      <c r="A28" s="124" t="s">
        <v>48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22" ht="28.5" customHeight="1" thickBot="1" x14ac:dyDescent="0.3">
      <c r="A29" s="130" t="s">
        <v>252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22" x14ac:dyDescent="0.25">
      <c r="B30" s="117" t="s">
        <v>49</v>
      </c>
      <c r="C30" s="108"/>
      <c r="D30" s="109"/>
      <c r="E30" s="117">
        <v>15</v>
      </c>
      <c r="F30" s="108"/>
      <c r="G30" s="108">
        <v>150</v>
      </c>
      <c r="H30" s="108"/>
      <c r="I30" s="108">
        <v>250</v>
      </c>
      <c r="J30" s="108"/>
      <c r="K30" s="108">
        <v>670</v>
      </c>
      <c r="L30" s="109"/>
      <c r="M30" s="117">
        <v>15</v>
      </c>
      <c r="N30" s="108"/>
      <c r="O30" s="108">
        <v>150</v>
      </c>
      <c r="P30" s="108"/>
      <c r="Q30" s="108">
        <v>250</v>
      </c>
      <c r="R30" s="108"/>
      <c r="S30" s="108">
        <v>670</v>
      </c>
      <c r="T30" s="109"/>
    </row>
    <row r="31" spans="1:22" x14ac:dyDescent="0.25">
      <c r="B31" s="110" t="s">
        <v>50</v>
      </c>
      <c r="C31" s="111"/>
      <c r="D31" s="112"/>
      <c r="E31" s="57" t="s">
        <v>51</v>
      </c>
      <c r="F31" s="32" t="s">
        <v>52</v>
      </c>
      <c r="G31" s="32" t="s">
        <v>51</v>
      </c>
      <c r="H31" s="32" t="s">
        <v>52</v>
      </c>
      <c r="I31" s="32" t="s">
        <v>51</v>
      </c>
      <c r="J31" s="32" t="s">
        <v>52</v>
      </c>
      <c r="K31" s="32" t="s">
        <v>51</v>
      </c>
      <c r="L31" s="58" t="s">
        <v>52</v>
      </c>
      <c r="M31" s="57" t="s">
        <v>51</v>
      </c>
      <c r="N31" s="32" t="s">
        <v>52</v>
      </c>
      <c r="O31" s="32" t="s">
        <v>51</v>
      </c>
      <c r="P31" s="32" t="s">
        <v>52</v>
      </c>
      <c r="Q31" s="32" t="s">
        <v>51</v>
      </c>
      <c r="R31" s="32" t="s">
        <v>52</v>
      </c>
      <c r="S31" s="32" t="s">
        <v>51</v>
      </c>
      <c r="T31" s="58" t="s">
        <v>52</v>
      </c>
    </row>
    <row r="32" spans="1:22" ht="89.25" x14ac:dyDescent="0.25">
      <c r="B32" s="57" t="s">
        <v>53</v>
      </c>
      <c r="C32" s="32" t="s">
        <v>54</v>
      </c>
      <c r="D32" s="58" t="s">
        <v>55</v>
      </c>
      <c r="E32" s="62" t="s">
        <v>238</v>
      </c>
      <c r="F32" s="19" t="s">
        <v>239</v>
      </c>
      <c r="G32" s="19" t="s">
        <v>238</v>
      </c>
      <c r="H32" s="19" t="s">
        <v>238</v>
      </c>
      <c r="I32" s="19" t="s">
        <v>238</v>
      </c>
      <c r="J32" s="19" t="s">
        <v>238</v>
      </c>
      <c r="K32" s="19" t="s">
        <v>238</v>
      </c>
      <c r="L32" s="63" t="s">
        <v>238</v>
      </c>
      <c r="M32" s="62" t="s">
        <v>238</v>
      </c>
      <c r="N32" s="19" t="s">
        <v>239</v>
      </c>
      <c r="O32" s="19" t="s">
        <v>238</v>
      </c>
      <c r="P32" s="19" t="s">
        <v>238</v>
      </c>
      <c r="Q32" s="19" t="s">
        <v>238</v>
      </c>
      <c r="R32" s="19" t="s">
        <v>238</v>
      </c>
      <c r="S32" s="19" t="s">
        <v>238</v>
      </c>
      <c r="T32" s="63" t="s">
        <v>238</v>
      </c>
    </row>
    <row r="33" spans="2:20" ht="15" customHeight="1" x14ac:dyDescent="0.25">
      <c r="B33" s="110" t="s">
        <v>265</v>
      </c>
      <c r="C33" s="111"/>
      <c r="D33" s="112"/>
      <c r="E33" s="110" t="s">
        <v>264</v>
      </c>
      <c r="F33" s="111"/>
      <c r="G33" s="111"/>
      <c r="H33" s="111"/>
      <c r="I33" s="111"/>
      <c r="J33" s="111"/>
      <c r="K33" s="111"/>
      <c r="L33" s="112"/>
      <c r="M33" s="110" t="s">
        <v>266</v>
      </c>
      <c r="N33" s="111"/>
      <c r="O33" s="111"/>
      <c r="P33" s="111"/>
      <c r="Q33" s="111"/>
      <c r="R33" s="111"/>
      <c r="S33" s="111"/>
      <c r="T33" s="112"/>
    </row>
    <row r="34" spans="2:20" x14ac:dyDescent="0.25">
      <c r="B34" s="122" t="s">
        <v>236</v>
      </c>
      <c r="C34" s="123" t="s">
        <v>56</v>
      </c>
      <c r="D34" s="59" t="s">
        <v>57</v>
      </c>
      <c r="E34" s="64">
        <f>2*24904</f>
        <v>49808</v>
      </c>
      <c r="F34" s="107">
        <v>550</v>
      </c>
      <c r="G34" s="20">
        <f t="shared" ref="G34:G41" si="0">2*24904</f>
        <v>49808</v>
      </c>
      <c r="H34" s="20">
        <f>24904</f>
        <v>24904</v>
      </c>
      <c r="I34" s="20">
        <f>(2*24903.96+2*(4204843.44*0.3)+5352.11*250)</f>
        <v>3910741.4840000002</v>
      </c>
      <c r="J34" s="20">
        <f>24903.96+(4204843.44*0.3)+5352.11*250</f>
        <v>2624384.4920000001</v>
      </c>
      <c r="K34" s="20">
        <f>2*24903.96+2*(4204843.44*0.3)+5352.11*670</f>
        <v>6158627.6840000004</v>
      </c>
      <c r="L34" s="65">
        <f>24903.96+(4204843.44*0.3)+5352.11*670</f>
        <v>4872270.6919999998</v>
      </c>
      <c r="M34" s="64">
        <f>(2*378.96+2*9105.9*0.3+5438.15)*15</f>
        <v>174894.15000000002</v>
      </c>
      <c r="N34" s="107">
        <v>550</v>
      </c>
      <c r="O34" s="20">
        <f>(2*378.96+2*9105.9*0.3+5438.15)*150</f>
        <v>1748941.5</v>
      </c>
      <c r="P34" s="20">
        <f>(378.96+9105.9*0.3+5438.15)*150</f>
        <v>1282331.9999999998</v>
      </c>
      <c r="Q34" s="20">
        <f>(2*378.96+2*9105.9*0.3+5438.15)*250</f>
        <v>2914902.5</v>
      </c>
      <c r="R34" s="20">
        <f>(378.96+9105.9*0.3+5438.15)*250</f>
        <v>2137220</v>
      </c>
      <c r="S34" s="20">
        <f>(2*378.96+2*9105.9*0.3+5438.15)*670</f>
        <v>7811938.7000000002</v>
      </c>
      <c r="T34" s="65">
        <f>(378.96+9105.9*0.3+5438.15)*670</f>
        <v>5727749.5999999996</v>
      </c>
    </row>
    <row r="35" spans="2:20" x14ac:dyDescent="0.25">
      <c r="B35" s="122"/>
      <c r="C35" s="123"/>
      <c r="D35" s="59" t="s">
        <v>58</v>
      </c>
      <c r="E35" s="64">
        <f>2*24904</f>
        <v>49808</v>
      </c>
      <c r="F35" s="113"/>
      <c r="G35" s="20">
        <f t="shared" si="0"/>
        <v>49808</v>
      </c>
      <c r="H35" s="20">
        <f>24904</f>
        <v>24904</v>
      </c>
      <c r="I35" s="20">
        <f>(2*24903.96+2*(1049755.94*0.3)+5352.11*250)</f>
        <v>2017688.9839999999</v>
      </c>
      <c r="J35" s="20">
        <f>24903.96+(1049755.94*0.3)+5352.11*250</f>
        <v>1677858.2420000001</v>
      </c>
      <c r="K35" s="20">
        <f>2*24903.96+2*(1049755*0.3)+5352.11*670</f>
        <v>4265574.62</v>
      </c>
      <c r="L35" s="65">
        <f>24903.96+(1049755*0.3)+5352.11*670</f>
        <v>3925744.1599999997</v>
      </c>
      <c r="M35" s="64">
        <f>(2*378.96+2*2357.6*0.3+5438.15)*15</f>
        <v>114159.44999999998</v>
      </c>
      <c r="N35" s="113"/>
      <c r="O35" s="20">
        <f>(2*378.96+2*2357.6*0.3+5438.15)*150</f>
        <v>1141594.4999999998</v>
      </c>
      <c r="P35" s="20">
        <f>(378.96+2357.6*0.3+5438.15)*150</f>
        <v>978658.49999999988</v>
      </c>
      <c r="Q35" s="20">
        <f>(2*378.96+2*2357.6*0.3+5438.15)*250</f>
        <v>1902657.4999999998</v>
      </c>
      <c r="R35" s="20">
        <f>(378.96+2357.6*0.3+5438.15)*250</f>
        <v>1631097.4999999998</v>
      </c>
      <c r="S35" s="20">
        <f>(2*378.96+2*2357.6*0.3+5438.15)*670</f>
        <v>5099122.0999999996</v>
      </c>
      <c r="T35" s="65">
        <f>(378.96+2357.6*0.3+5438.15)*670</f>
        <v>4371341.3</v>
      </c>
    </row>
    <row r="36" spans="2:20" s="38" customFormat="1" x14ac:dyDescent="0.25">
      <c r="B36" s="122"/>
      <c r="C36" s="123" t="s">
        <v>59</v>
      </c>
      <c r="D36" s="59" t="s">
        <v>57</v>
      </c>
      <c r="E36" s="64">
        <f>2*24903.96</f>
        <v>49807.92</v>
      </c>
      <c r="F36" s="107">
        <v>550</v>
      </c>
      <c r="G36" s="20">
        <f t="shared" si="0"/>
        <v>49808</v>
      </c>
      <c r="H36" s="20">
        <f>24904</f>
        <v>24904</v>
      </c>
      <c r="I36" s="20">
        <f>2*24903.96+2*(4204843.44*0.3)</f>
        <v>2572713.9840000002</v>
      </c>
      <c r="J36" s="20">
        <f>24903.96+(4204843.44*0.3)</f>
        <v>1286356.9920000001</v>
      </c>
      <c r="K36" s="20">
        <f>2*24903.96+2*(4204843.44*0.3)</f>
        <v>2572713.9840000002</v>
      </c>
      <c r="L36" s="65">
        <f>24903.96+(4204843.44*0.3)</f>
        <v>1286356.9920000001</v>
      </c>
      <c r="M36" s="64">
        <f>(2*378.96+2*9105.9*0.3)*15</f>
        <v>93321.9</v>
      </c>
      <c r="N36" s="107">
        <v>550</v>
      </c>
      <c r="O36" s="20">
        <f>(2*378.96+2*9105.9*0.3)*150</f>
        <v>933219</v>
      </c>
      <c r="P36" s="20">
        <f>(378.96+9105.9*0.3)*150</f>
        <v>466609.5</v>
      </c>
      <c r="Q36" s="20">
        <f>(2*378.96+2*9105.9*0.3)*250</f>
        <v>1555365</v>
      </c>
      <c r="R36" s="20">
        <f>(378.96+9105.9*0.3)*250</f>
        <v>777682.5</v>
      </c>
      <c r="S36" s="20">
        <f>(2*378.96+2*9105.9*0.3)*670</f>
        <v>4168378.2</v>
      </c>
      <c r="T36" s="65">
        <f>(378.96+9105.9*0.3)*670</f>
        <v>2084189.1</v>
      </c>
    </row>
    <row r="37" spans="2:20" s="38" customFormat="1" x14ac:dyDescent="0.25">
      <c r="B37" s="122"/>
      <c r="C37" s="123"/>
      <c r="D37" s="59" t="s">
        <v>58</v>
      </c>
      <c r="E37" s="64">
        <f>2*24903.96</f>
        <v>49807.92</v>
      </c>
      <c r="F37" s="107"/>
      <c r="G37" s="20">
        <f t="shared" si="0"/>
        <v>49808</v>
      </c>
      <c r="H37" s="20">
        <f>24904</f>
        <v>24904</v>
      </c>
      <c r="I37" s="20">
        <f>2*24903.96+2*(1049755*0.3)</f>
        <v>679660.92</v>
      </c>
      <c r="J37" s="20">
        <f>24903.96+(1049755*0.3)</f>
        <v>339830.46</v>
      </c>
      <c r="K37" s="20">
        <f>2*24903.96+2*(1049755*0.3)</f>
        <v>679660.92</v>
      </c>
      <c r="L37" s="65">
        <f>24903.96+(1049755*0.3)</f>
        <v>339830.46</v>
      </c>
      <c r="M37" s="64">
        <f>(2*378.96+2*2357.6*0.3)*15</f>
        <v>32587.200000000001</v>
      </c>
      <c r="N37" s="107"/>
      <c r="O37" s="20">
        <f>(2*378.96+2*2357.6*0.3)*150</f>
        <v>325872</v>
      </c>
      <c r="P37" s="20">
        <f>(378.96+2357.6*0.3)*150</f>
        <v>162936</v>
      </c>
      <c r="Q37" s="20">
        <f>(2*378.96+2*2357.6*0.3)*250</f>
        <v>543120</v>
      </c>
      <c r="R37" s="20">
        <f>(378.96+2357.6*0.3)*250</f>
        <v>271560</v>
      </c>
      <c r="S37" s="20">
        <f>(2*378.96+2*2357.6*0.3)*670</f>
        <v>1455561.6</v>
      </c>
      <c r="T37" s="65">
        <f>(378.96+2357.6*0.3)*670</f>
        <v>727780.8</v>
      </c>
    </row>
    <row r="38" spans="2:20" s="38" customFormat="1" x14ac:dyDescent="0.25">
      <c r="B38" s="122" t="s">
        <v>237</v>
      </c>
      <c r="C38" s="123" t="s">
        <v>56</v>
      </c>
      <c r="D38" s="59" t="s">
        <v>57</v>
      </c>
      <c r="E38" s="64">
        <f t="shared" ref="E38:E41" si="1">2*24903.96</f>
        <v>49807.92</v>
      </c>
      <c r="F38" s="107">
        <v>550</v>
      </c>
      <c r="G38" s="20">
        <f t="shared" si="0"/>
        <v>49808</v>
      </c>
      <c r="H38" s="20">
        <f>24904</f>
        <v>24904</v>
      </c>
      <c r="I38" s="20">
        <f>2*24903.96+2*(4204843.44*0.5)+5352.11*250</f>
        <v>5592678.8600000003</v>
      </c>
      <c r="J38" s="20">
        <f>24903.96+(4204843.44*0.5)+5352.11*250</f>
        <v>3465353.18</v>
      </c>
      <c r="K38" s="20">
        <f>2*24903.96+2*(4204843.44*0.5)+5352.11*670</f>
        <v>7840565.0600000005</v>
      </c>
      <c r="L38" s="65">
        <f>24903.96+(4204843.44*0.5)+5352.11*670</f>
        <v>5713239.3799999999</v>
      </c>
      <c r="M38" s="64">
        <f>(2*378.96+2*14006.07*0.5+3757.9)*15</f>
        <v>277828.34999999998</v>
      </c>
      <c r="N38" s="107">
        <v>550</v>
      </c>
      <c r="O38" s="20">
        <f>(2*378.96+2*14006.07*0.5+3757.9)*150</f>
        <v>2778283.5</v>
      </c>
      <c r="P38" s="20">
        <f>(378.96+14006.07*0.5+3757.9)*150</f>
        <v>1670984.25</v>
      </c>
      <c r="Q38" s="20">
        <f>(2*378.96+2*14006.07*0.5+3757.9)*250</f>
        <v>4630472.5</v>
      </c>
      <c r="R38" s="20">
        <f>(378.96+14006.07*0.5+3757.9)*250</f>
        <v>2784973.75</v>
      </c>
      <c r="S38" s="20">
        <f>(2*378.96+2*14006.07*0.5+3757.9)*650</f>
        <v>12039228.5</v>
      </c>
      <c r="T38" s="65">
        <f>(378.96+14006.07*0.5+3757.9)*670</f>
        <v>7463729.6500000004</v>
      </c>
    </row>
    <row r="39" spans="2:20" s="38" customFormat="1" x14ac:dyDescent="0.25">
      <c r="B39" s="122"/>
      <c r="C39" s="123"/>
      <c r="D39" s="59" t="s">
        <v>58</v>
      </c>
      <c r="E39" s="64">
        <f t="shared" si="1"/>
        <v>49807.92</v>
      </c>
      <c r="F39" s="107"/>
      <c r="G39" s="20">
        <f t="shared" si="0"/>
        <v>49808</v>
      </c>
      <c r="H39" s="20">
        <f>24904</f>
        <v>24904</v>
      </c>
      <c r="I39" s="20">
        <f>2*24903.96+2*(1049755.94*0.5)+5352.11*250</f>
        <v>2437591.36</v>
      </c>
      <c r="J39" s="20">
        <f>24903.96+(1049755.94*0.5)+5352.11*250</f>
        <v>1887809.43</v>
      </c>
      <c r="K39" s="20">
        <f>2*24903.96+2*(1049755.94*0.5)+5352.11*670</f>
        <v>4685477.5599999996</v>
      </c>
      <c r="L39" s="65">
        <f>24903.96+(1049755.94*0.5)+5352.11*670</f>
        <v>4135695.63</v>
      </c>
      <c r="M39" s="64">
        <f>(2*378.96+2*10046.6*0.5+3757.9)*15</f>
        <v>218436.3</v>
      </c>
      <c r="N39" s="107"/>
      <c r="O39" s="20">
        <f>(2*378.96+2*10046.6*0.5+3757.9)*150</f>
        <v>2184363</v>
      </c>
      <c r="P39" s="20">
        <f>(378.96+10046.6*0.5+3757.9)*150</f>
        <v>1374024</v>
      </c>
      <c r="Q39" s="20">
        <f>(2*378.96+2*10046.6*0.5+3757.9)*250</f>
        <v>3640605</v>
      </c>
      <c r="R39" s="20">
        <f>(378.96+10046.6*0.5+3757.9)*250</f>
        <v>2290040</v>
      </c>
      <c r="S39" s="20">
        <f>(2*378.96+2*10046.6*0.5+3757.9)*670</f>
        <v>9756821.4000000004</v>
      </c>
      <c r="T39" s="65">
        <f>(378.96+10046.6*0.5+3757.9)*670</f>
        <v>6137307.2000000002</v>
      </c>
    </row>
    <row r="40" spans="2:20" s="38" customFormat="1" x14ac:dyDescent="0.25">
      <c r="B40" s="122"/>
      <c r="C40" s="123" t="s">
        <v>59</v>
      </c>
      <c r="D40" s="59" t="s">
        <v>57</v>
      </c>
      <c r="E40" s="64">
        <f t="shared" si="1"/>
        <v>49807.92</v>
      </c>
      <c r="F40" s="107">
        <v>550</v>
      </c>
      <c r="G40" s="20">
        <f t="shared" si="0"/>
        <v>49808</v>
      </c>
      <c r="H40" s="20">
        <f>24904</f>
        <v>24904</v>
      </c>
      <c r="I40" s="20">
        <f>2*24903.96+2*(4204843.44*0.5)</f>
        <v>4254651.3600000003</v>
      </c>
      <c r="J40" s="20">
        <f>24903.96+(4204843.44*0.5)</f>
        <v>2127325.6800000002</v>
      </c>
      <c r="K40" s="20">
        <f>2*24903.96+2*(4204843.44*0.5)</f>
        <v>4254651.3600000003</v>
      </c>
      <c r="L40" s="65">
        <f>24903.96+(4204843.44*0.5)</f>
        <v>2127325.6800000002</v>
      </c>
      <c r="M40" s="64">
        <f>(2*378.96+2*14006.07*0.5)*15</f>
        <v>221459.85</v>
      </c>
      <c r="N40" s="107">
        <v>550</v>
      </c>
      <c r="O40" s="20">
        <f>(2*378.96+2*14006.07*0.5)*150</f>
        <v>2214598.5</v>
      </c>
      <c r="P40" s="20">
        <f>(378.96+14006.07*0.5)*150</f>
        <v>1107299.25</v>
      </c>
      <c r="Q40" s="20">
        <f>(2*378.96+2*14006.07*0.5)*250</f>
        <v>3690997.5</v>
      </c>
      <c r="R40" s="20">
        <f>(378.96+14006.07*0.5)*250</f>
        <v>1845498.75</v>
      </c>
      <c r="S40" s="20">
        <f>(2*378.96+2*14006.07*0.5)*670</f>
        <v>9891873.3000000007</v>
      </c>
      <c r="T40" s="65">
        <f>(378.96+14006.07*0.5)*670</f>
        <v>4945936.6500000004</v>
      </c>
    </row>
    <row r="41" spans="2:20" s="38" customFormat="1" x14ac:dyDescent="0.25">
      <c r="B41" s="122"/>
      <c r="C41" s="123"/>
      <c r="D41" s="59" t="s">
        <v>58</v>
      </c>
      <c r="E41" s="64">
        <f t="shared" si="1"/>
        <v>49807.92</v>
      </c>
      <c r="F41" s="107"/>
      <c r="G41" s="20">
        <f t="shared" si="0"/>
        <v>49808</v>
      </c>
      <c r="H41" s="20">
        <f>24904</f>
        <v>24904</v>
      </c>
      <c r="I41" s="20">
        <f>2*24903.96+2*(1049755.94*0.5)</f>
        <v>1099563.8599999999</v>
      </c>
      <c r="J41" s="20">
        <f>24903.96+(1049755.94*0.5)</f>
        <v>549781.92999999993</v>
      </c>
      <c r="K41" s="20">
        <f>2*24903.96+2*(1049755.94*0.5)</f>
        <v>1099563.8599999999</v>
      </c>
      <c r="L41" s="65">
        <f>24903.96+(1049755.94*0.5)</f>
        <v>549781.92999999993</v>
      </c>
      <c r="M41" s="64">
        <f>(2*378.96+2*10046.6*0.5)*15</f>
        <v>162067.80000000002</v>
      </c>
      <c r="N41" s="107"/>
      <c r="O41" s="20">
        <f>(2*378.96+2*10046.6*0.5)*150</f>
        <v>1620678</v>
      </c>
      <c r="P41" s="20">
        <f>(378.96+10046.6*0.5)*150</f>
        <v>810339</v>
      </c>
      <c r="Q41" s="20">
        <f>(2*378.96+2*10046.6*0.5)*250</f>
        <v>2701130</v>
      </c>
      <c r="R41" s="20">
        <f>(378.96+10046.6*0.5)*250</f>
        <v>1350565</v>
      </c>
      <c r="S41" s="20">
        <f>(2*378.96+2*10046.6*0.5)*670</f>
        <v>7239028.4000000004</v>
      </c>
      <c r="T41" s="65">
        <f>(378.96+10046.6*0.5)*670</f>
        <v>3619514.2</v>
      </c>
    </row>
    <row r="42" spans="2:20" s="38" customFormat="1" x14ac:dyDescent="0.25">
      <c r="B42" s="118">
        <v>750</v>
      </c>
      <c r="C42" s="120" t="s">
        <v>56</v>
      </c>
      <c r="D42" s="60" t="s">
        <v>57</v>
      </c>
      <c r="E42" s="66">
        <f>2*24903.96+2*(4204843.44*0.75)+5352.11*15</f>
        <v>6437354.7300000004</v>
      </c>
      <c r="F42" s="41">
        <f>24903.96+(4204843.44*0.75)+5352.11*15</f>
        <v>3258818.19</v>
      </c>
      <c r="G42" s="41">
        <f>2*24903.96+2*(4204843.44*0.75)+5352.11*150</f>
        <v>7159889.5800000001</v>
      </c>
      <c r="H42" s="41">
        <f>24903.96+(4204843.44*0.75)+5352.11*150</f>
        <v>3981353.04</v>
      </c>
      <c r="I42" s="41">
        <f>2*24903.96+2*(4204843.44*0.75)+5352.11*250</f>
        <v>7695100.5800000001</v>
      </c>
      <c r="J42" s="41">
        <f>24903.96+(4204843.44*0.75)+5352.11*250</f>
        <v>4516564.04</v>
      </c>
      <c r="K42" s="41">
        <f>2*24903.96+2*(4204843.44*0.75)+5352.11*670</f>
        <v>9942986.7799999993</v>
      </c>
      <c r="L42" s="67">
        <f>24903.96+(4204843.44*0.75)+5352.11*670</f>
        <v>6764450.2400000002</v>
      </c>
      <c r="M42" s="66">
        <f>2*378.96*15+2*(4204843.44*0.75)+5352.11*15</f>
        <v>6398915.6100000003</v>
      </c>
      <c r="N42" s="41">
        <f>378.96*15+(4204843.44*0.75)+5352.11*15</f>
        <v>3239598.63</v>
      </c>
      <c r="O42" s="41">
        <f>2*378.96*150+2*(4204843.44*0.75)+5352.11*150</f>
        <v>7223769.6600000001</v>
      </c>
      <c r="P42" s="41">
        <f>378.96*150+(4204843.44*0.75)+5352.11*150</f>
        <v>4013293.08</v>
      </c>
      <c r="Q42" s="41">
        <f>2*378.96*250+2*(4204843.44*0.75)+5352.11*250</f>
        <v>7834772.6600000001</v>
      </c>
      <c r="R42" s="41">
        <f>378.96*250+(4204843.44*0.75)+5352.11*250</f>
        <v>4586400.08</v>
      </c>
      <c r="S42" s="41">
        <f>2*378.96*670+2*(4204843.44*0.75)+5352.11*670</f>
        <v>10400985.26</v>
      </c>
      <c r="T42" s="67">
        <f>378.96*670+(4204843.44*0.75)+5352.11*670</f>
        <v>6993449.4800000004</v>
      </c>
    </row>
    <row r="43" spans="2:20" s="38" customFormat="1" x14ac:dyDescent="0.25">
      <c r="B43" s="118"/>
      <c r="C43" s="120"/>
      <c r="D43" s="60" t="s">
        <v>58</v>
      </c>
      <c r="E43" s="66">
        <f>2*24903.96+2*(1049755.94*0.75)+5352.11*15</f>
        <v>1704723.4799999997</v>
      </c>
      <c r="F43" s="41">
        <f>24903.96+(1049755.94*0.75)+5352.11*15</f>
        <v>892502.56499999994</v>
      </c>
      <c r="G43" s="41">
        <f>2*24903.96+2*(1049755.94*0.75)+5352.11*150</f>
        <v>2427258.33</v>
      </c>
      <c r="H43" s="41">
        <f>24903.96+(1049755.94*0.75)+5352.11*150</f>
        <v>1615037.415</v>
      </c>
      <c r="I43" s="41">
        <f>2*24903.96+2*(1049755.94*0.75)+5352.11*250</f>
        <v>2962469.33</v>
      </c>
      <c r="J43" s="41">
        <f>24903.96+(1049755.94*0.75)+5352.11*250</f>
        <v>2150248.415</v>
      </c>
      <c r="K43" s="41">
        <f>2*24903.96+2*(1049755.94*0.75)+5352.11*670</f>
        <v>5210355.5299999993</v>
      </c>
      <c r="L43" s="67">
        <f>24903.96+(1049755.94*0.75)+5352.11*670</f>
        <v>4398134.6149999993</v>
      </c>
      <c r="M43" s="66">
        <f>2*378.96*15+2*(1049755.94*0.75)+5352.11*15</f>
        <v>1666284.3599999999</v>
      </c>
      <c r="N43" s="41">
        <f>378.96*15+(1049755.94*0.75)+5352.11*15</f>
        <v>873283.005</v>
      </c>
      <c r="O43" s="41">
        <f>2*378.96*150+2*(1049755.94*0.75)+5352.11*150</f>
        <v>2491138.41</v>
      </c>
      <c r="P43" s="41">
        <f>378.96*150+(1049755.94*0.75)+5352.11*150</f>
        <v>1646977.4550000001</v>
      </c>
      <c r="Q43" s="41">
        <f>2*378.96*250+2*(1049755.94*0.75)+5352.11*250</f>
        <v>3102141.41</v>
      </c>
      <c r="R43" s="41">
        <f>378.96*250+(1049755.94*0.75)+5352.11*250</f>
        <v>2220084.4550000001</v>
      </c>
      <c r="S43" s="41">
        <f>2*378.96*670+2*(1049755.94*0.75)+5352.11*670</f>
        <v>5668354.0099999998</v>
      </c>
      <c r="T43" s="67">
        <f>378.96*670+(1049755.94*0.75)+5352.11*670</f>
        <v>4627133.8549999995</v>
      </c>
    </row>
    <row r="44" spans="2:20" s="38" customFormat="1" x14ac:dyDescent="0.25">
      <c r="B44" s="118"/>
      <c r="C44" s="120" t="s">
        <v>59</v>
      </c>
      <c r="D44" s="60" t="s">
        <v>57</v>
      </c>
      <c r="E44" s="66">
        <f>2*24903+2*(4204843.44*0.75)</f>
        <v>6357071.1600000001</v>
      </c>
      <c r="F44" s="41">
        <f>24903+(4204843.44*0.75)</f>
        <v>3178535.58</v>
      </c>
      <c r="G44" s="41">
        <f>2*24903+2*(4204843.44*0.75)</f>
        <v>6357071.1600000001</v>
      </c>
      <c r="H44" s="41">
        <f>24903+(4204843.44*0.75)</f>
        <v>3178535.58</v>
      </c>
      <c r="I44" s="41">
        <f>2*24903+2*(4204843.44*0.75)</f>
        <v>6357071.1600000001</v>
      </c>
      <c r="J44" s="41">
        <f>24903+(4204843.44*0.75)</f>
        <v>3178535.58</v>
      </c>
      <c r="K44" s="41">
        <f>2*24903+2*(4204843.44*0.75)</f>
        <v>6357071.1600000001</v>
      </c>
      <c r="L44" s="67">
        <f>24903+(4204843.44*0.75)</f>
        <v>3178535.58</v>
      </c>
      <c r="M44" s="66">
        <f>2*378.96*15+2*(4204843.44*0.75)</f>
        <v>6318633.96</v>
      </c>
      <c r="N44" s="41">
        <f>378.96*15+(4204843.44*0.75)</f>
        <v>3159316.98</v>
      </c>
      <c r="O44" s="41">
        <f>2*378.96*150+2*(4204843.44*0.75)</f>
        <v>6420953.1600000001</v>
      </c>
      <c r="P44" s="41">
        <f>378.96*150+(4204843.44*0.75)</f>
        <v>3210476.58</v>
      </c>
      <c r="Q44" s="41">
        <f>2*378.96*250+2*(4204843.44*0.75)</f>
        <v>6496745.1600000001</v>
      </c>
      <c r="R44" s="41">
        <f>378.96*250+(4204843.44*0.75)</f>
        <v>3248372.58</v>
      </c>
      <c r="S44" s="41">
        <f>2*378.96*670+2*(4204843.44*0.75)</f>
        <v>6815071.5600000005</v>
      </c>
      <c r="T44" s="67">
        <f>378.96*670+(4204843.44*0.75)</f>
        <v>3407535.7800000003</v>
      </c>
    </row>
    <row r="45" spans="2:20" s="38" customFormat="1" x14ac:dyDescent="0.25">
      <c r="B45" s="118"/>
      <c r="C45" s="120"/>
      <c r="D45" s="60" t="s">
        <v>58</v>
      </c>
      <c r="E45" s="66">
        <f>2*24903+2*(1049755.94*0.75)</f>
        <v>1624439.91</v>
      </c>
      <c r="F45" s="41">
        <f>24903+(1049755.94*0.75)</f>
        <v>812219.95499999996</v>
      </c>
      <c r="G45" s="41">
        <f>2*24903+2*(1049755.94*0.75)</f>
        <v>1624439.91</v>
      </c>
      <c r="H45" s="41">
        <f>24903+(1049755.94*0.75)</f>
        <v>812219.95499999996</v>
      </c>
      <c r="I45" s="41">
        <f>2*24903+2*(1049755.94*0.75)</f>
        <v>1624439.91</v>
      </c>
      <c r="J45" s="41">
        <f>24903+(1049755.94*0.75)</f>
        <v>812219.95499999996</v>
      </c>
      <c r="K45" s="41">
        <f>2*24903+2*(1049755.94*0.75)</f>
        <v>1624439.91</v>
      </c>
      <c r="L45" s="67">
        <f>24903+(1049755.94*0.75)</f>
        <v>812219.95499999996</v>
      </c>
      <c r="M45" s="66">
        <f>2*378.96*15+2*(1049755.94*0.75)</f>
        <v>1586002.71</v>
      </c>
      <c r="N45" s="41">
        <f>378.96*15+(1049755.94*0.75)</f>
        <v>793001.35499999998</v>
      </c>
      <c r="O45" s="41">
        <f>2*378.96*150+2*(1049755.94*0.75)</f>
        <v>1688321.91</v>
      </c>
      <c r="P45" s="41">
        <f>378.96*150+(1049755.94*0.75)</f>
        <v>844160.95499999996</v>
      </c>
      <c r="Q45" s="41">
        <f>2*378.96*250+2*(1049755.94*0.75)</f>
        <v>1764113.91</v>
      </c>
      <c r="R45" s="41">
        <f>378.96*250+(1049755.94*0.75)</f>
        <v>882056.95499999996</v>
      </c>
      <c r="S45" s="41">
        <f>2*378.96*670+2*(1049755.94*0.75)</f>
        <v>2082440.3099999998</v>
      </c>
      <c r="T45" s="67">
        <f>378.96*670+(1049755.94*0.75)</f>
        <v>1041220.1549999999</v>
      </c>
    </row>
    <row r="46" spans="2:20" s="38" customFormat="1" x14ac:dyDescent="0.25">
      <c r="B46" s="118">
        <v>1000</v>
      </c>
      <c r="C46" s="120" t="s">
        <v>56</v>
      </c>
      <c r="D46" s="60" t="s">
        <v>57</v>
      </c>
      <c r="E46" s="66">
        <f>2*24903.96+2*(4204843.44*1)+5352.11*15</f>
        <v>8539776.4500000011</v>
      </c>
      <c r="F46" s="41">
        <f>24903.96+(4204843.44*1)+5352.11*15</f>
        <v>4310029.0500000007</v>
      </c>
      <c r="G46" s="41">
        <f>2*24903.96+2*(4204843.44*1)+5352.11*150</f>
        <v>9262311.3000000007</v>
      </c>
      <c r="H46" s="41">
        <f>24903.96+(4204843.44*1)+5352.11*150</f>
        <v>5032563.9000000004</v>
      </c>
      <c r="I46" s="41">
        <f>2*24903.96+2*(4204843.44*1)+5352.11*250</f>
        <v>9797522.3000000007</v>
      </c>
      <c r="J46" s="41">
        <f>24903.96+(4204843.44*1)+5352.11*250</f>
        <v>5567774.9000000004</v>
      </c>
      <c r="K46" s="41">
        <f>2*24903.96+2*(4204843.44*1)+5352.11*670</f>
        <v>12045408.5</v>
      </c>
      <c r="L46" s="67">
        <f>24903.96+(4204843.44*1)+5352.11*670</f>
        <v>7815661.0999999996</v>
      </c>
      <c r="M46" s="66">
        <f>2*378.96*15+2*(4204843.44*1)+5352.11*15</f>
        <v>8501337.3300000019</v>
      </c>
      <c r="N46" s="41">
        <f>378.96*15+(4204843.44*1)+5352.11*15</f>
        <v>4290809.4900000012</v>
      </c>
      <c r="O46" s="41">
        <f>2*378.96*150+2*(4204843.44*1)+5352.11*150</f>
        <v>9326191.3800000008</v>
      </c>
      <c r="P46" s="41">
        <f>378.96*150+(4204843.44*1)+5352.11*150</f>
        <v>5064503.9400000004</v>
      </c>
      <c r="Q46" s="41">
        <f>2*378.96*250+2*(4204843.44*1)+5352.11*250</f>
        <v>9937194.3800000008</v>
      </c>
      <c r="R46" s="41">
        <f>378.96*250+(4204843.44*1)+5352.11*250</f>
        <v>5637610.9400000004</v>
      </c>
      <c r="S46" s="41">
        <f>2*378.96*670+2*(4204843.44*1)+5352.11*670</f>
        <v>12503406.98</v>
      </c>
      <c r="T46" s="67">
        <f>378.96*670+(4204843.44*1)+5352.11*670</f>
        <v>8044660.3399999999</v>
      </c>
    </row>
    <row r="47" spans="2:20" s="38" customFormat="1" x14ac:dyDescent="0.25">
      <c r="B47" s="118"/>
      <c r="C47" s="120"/>
      <c r="D47" s="60" t="s">
        <v>58</v>
      </c>
      <c r="E47" s="66">
        <f>2*24903.96+2*(1049755.94*1)+5352.11*15</f>
        <v>2229601.4499999997</v>
      </c>
      <c r="F47" s="41">
        <f>24903.96+(1049755.94*1)+5352.11*15</f>
        <v>1154941.5499999998</v>
      </c>
      <c r="G47" s="41">
        <f>2*24903.96+2*(1049755.94*1)+5352.11*150</f>
        <v>2952136.3</v>
      </c>
      <c r="H47" s="41">
        <f>24903.96+(1049755.94*1)+5352.11*150</f>
        <v>1877476.4</v>
      </c>
      <c r="I47" s="41">
        <f>2*24903.96+2*(1049755.94*1)+5352.11*250</f>
        <v>3487347.3</v>
      </c>
      <c r="J47" s="41">
        <f>24903.96+(1049755.94*1)+5352.11*250</f>
        <v>2412687.4</v>
      </c>
      <c r="K47" s="41">
        <f>2*24903.96+2*(1049755.94*1)+5352.11*670</f>
        <v>5735233.5</v>
      </c>
      <c r="L47" s="67">
        <f>24903.96+(1049755.94*1)+5352.11*670</f>
        <v>4660573.5999999996</v>
      </c>
      <c r="M47" s="66">
        <f>2*378.96*15+2*(1049755.94*1)+5352.11*15</f>
        <v>2191162.3299999996</v>
      </c>
      <c r="N47" s="41">
        <f>378.96*15+(1049755.94*1)+5352.11*15</f>
        <v>1135721.9899999998</v>
      </c>
      <c r="O47" s="41">
        <f>2*378.96*150+2*(1049755.94*1)+5352.11*150</f>
        <v>3016016.38</v>
      </c>
      <c r="P47" s="41">
        <f>378.96*150+(1049755.94*1)+5352.11*150</f>
        <v>1909416.44</v>
      </c>
      <c r="Q47" s="41">
        <f>2*378.96*250+2*(1049755.94*1)+5352.11*250</f>
        <v>3627019.38</v>
      </c>
      <c r="R47" s="41">
        <f>378.96*250+(1049755.94*1)+5352.11*250</f>
        <v>2482523.44</v>
      </c>
      <c r="S47" s="41">
        <f>2*378.96*670+2*(1049755.94*1)+5352.11*670</f>
        <v>6193231.9799999995</v>
      </c>
      <c r="T47" s="67">
        <f>378.96*670+(1049755.94*1)+5352.11*670</f>
        <v>4889572.84</v>
      </c>
    </row>
    <row r="48" spans="2:20" s="38" customFormat="1" x14ac:dyDescent="0.25">
      <c r="B48" s="118"/>
      <c r="C48" s="120" t="s">
        <v>59</v>
      </c>
      <c r="D48" s="60" t="s">
        <v>57</v>
      </c>
      <c r="E48" s="66">
        <f>2*24903+2*(4204843.44*1)</f>
        <v>8459492.8800000008</v>
      </c>
      <c r="F48" s="41">
        <f>24903+(4204843.44*1)</f>
        <v>4229746.4400000004</v>
      </c>
      <c r="G48" s="41">
        <f>2*24903+2*(4204843.44*1)</f>
        <v>8459492.8800000008</v>
      </c>
      <c r="H48" s="41">
        <f>24903+(4204843.44*1)</f>
        <v>4229746.4400000004</v>
      </c>
      <c r="I48" s="41">
        <f>2*24903+2*(4204843.44*1)</f>
        <v>8459492.8800000008</v>
      </c>
      <c r="J48" s="41">
        <f>24903+(4204843.44*1)</f>
        <v>4229746.4400000004</v>
      </c>
      <c r="K48" s="41">
        <f>2*24903+2*(4204843.44*1)</f>
        <v>8459492.8800000008</v>
      </c>
      <c r="L48" s="67">
        <f>24903+(4204843.44*1)</f>
        <v>4229746.4400000004</v>
      </c>
      <c r="M48" s="66">
        <f>2*378.96*15+2*(4204843.44*1)</f>
        <v>8421055.6800000016</v>
      </c>
      <c r="N48" s="41">
        <f>378.96*15+(4204843.44*1)</f>
        <v>4210527.8400000008</v>
      </c>
      <c r="O48" s="41">
        <f>2*378.96*150+2*(4204843.44*1)</f>
        <v>8523374.8800000008</v>
      </c>
      <c r="P48" s="41">
        <f>378.96*150+(4204843.44*1)</f>
        <v>4261687.4400000004</v>
      </c>
      <c r="Q48" s="41">
        <f>2*378.96*250+2*(4204843.44*1)</f>
        <v>8599166.8800000008</v>
      </c>
      <c r="R48" s="41">
        <f>378.96*250+(4204843.44*1)</f>
        <v>4299583.4400000004</v>
      </c>
      <c r="S48" s="41">
        <f>2*378.96*670+2*(4204843.44*1)</f>
        <v>8917493.2800000012</v>
      </c>
      <c r="T48" s="67">
        <f>378.96*670+(4204843.44*1)</f>
        <v>4458746.6400000006</v>
      </c>
    </row>
    <row r="49" spans="2:20" s="38" customFormat="1" x14ac:dyDescent="0.25">
      <c r="B49" s="118"/>
      <c r="C49" s="120"/>
      <c r="D49" s="60" t="s">
        <v>58</v>
      </c>
      <c r="E49" s="66">
        <f>2*24903+2*(1049755.94*1)</f>
        <v>2149317.88</v>
      </c>
      <c r="F49" s="41">
        <f>24903+(1049755.94*1)</f>
        <v>1074658.94</v>
      </c>
      <c r="G49" s="41">
        <f>2*24903+2*(1049755.94*1)</f>
        <v>2149317.88</v>
      </c>
      <c r="H49" s="41">
        <f>24903+(1049755.94*1)</f>
        <v>1074658.94</v>
      </c>
      <c r="I49" s="41">
        <f>2*24903+2*(1049755.94*1)</f>
        <v>2149317.88</v>
      </c>
      <c r="J49" s="41">
        <f>24903+(1049755.94*1)</f>
        <v>1074658.94</v>
      </c>
      <c r="K49" s="41">
        <f>2*24903+2*(1049755.94*1)</f>
        <v>2149317.88</v>
      </c>
      <c r="L49" s="67">
        <f>24903+(1049755.94*1)</f>
        <v>1074658.94</v>
      </c>
      <c r="M49" s="66">
        <f>2*378.96*15+2*(1049755.94*1)</f>
        <v>2110880.6799999997</v>
      </c>
      <c r="N49" s="41">
        <f>378.96*15+(1049755.94*1)</f>
        <v>1055440.3399999999</v>
      </c>
      <c r="O49" s="41">
        <f>2*378.96*150+2*(1049755.94*1)</f>
        <v>2213199.88</v>
      </c>
      <c r="P49" s="41">
        <f>378.96*150+(1049755.94*1)</f>
        <v>1106599.94</v>
      </c>
      <c r="Q49" s="41">
        <f>2*378.96*250+2*(1049755.94*1)</f>
        <v>2288991.88</v>
      </c>
      <c r="R49" s="41">
        <f>378.96*250+(1049755.94*1)</f>
        <v>1144495.94</v>
      </c>
      <c r="S49" s="41">
        <f>2*378.96*670+2*(1049755.94*1)</f>
        <v>2607318.2799999998</v>
      </c>
      <c r="T49" s="67">
        <f>378.96*670+(1049755.94*1)</f>
        <v>1303659.1399999999</v>
      </c>
    </row>
    <row r="50" spans="2:20" s="38" customFormat="1" x14ac:dyDescent="0.25">
      <c r="B50" s="118">
        <v>1250</v>
      </c>
      <c r="C50" s="120" t="s">
        <v>56</v>
      </c>
      <c r="D50" s="60" t="s">
        <v>57</v>
      </c>
      <c r="E50" s="66">
        <f>2*24903.96+2*(4204843.44*1.25)+5352.11*15</f>
        <v>10642198.170000002</v>
      </c>
      <c r="F50" s="41">
        <f>24903.96+(4204843.44*1.25)+5352.11*15</f>
        <v>5361239.9100000011</v>
      </c>
      <c r="G50" s="41">
        <f>2*24903.96+2*(4204843.44*1.25)+5352.11*150</f>
        <v>11364733.020000001</v>
      </c>
      <c r="H50" s="41">
        <f>24903.96+(4204843.44*1.25)+5352.11*150</f>
        <v>6083774.7600000007</v>
      </c>
      <c r="I50" s="41">
        <f>2*24903.96+2*(4204843.44*1.25)+5352.11*250</f>
        <v>11899944.020000001</v>
      </c>
      <c r="J50" s="41">
        <f>24903.96+(4204843.44*1.25)+5352.11*250</f>
        <v>6618985.7600000007</v>
      </c>
      <c r="K50" s="41">
        <f>2*24903.96+2*(4204843.44*1.25)+5352.11*670</f>
        <v>14147830.220000001</v>
      </c>
      <c r="L50" s="67">
        <f>24903.96+(4204843.44*1.25)+5352.11*670</f>
        <v>8866871.9600000009</v>
      </c>
      <c r="M50" s="66">
        <f>2*378.96*15+2*(4204843.44*1.25)+5352.11*15</f>
        <v>10603759.050000003</v>
      </c>
      <c r="N50" s="41">
        <f>378.96*15+(4204843.44*1.25)+5352.11*15</f>
        <v>5342020.3500000015</v>
      </c>
      <c r="O50" s="41">
        <f>2*378.96*150+2*(4204843.44*1.25)+5352.11*150</f>
        <v>11428613.100000001</v>
      </c>
      <c r="P50" s="41">
        <f>378.96*150+(4204843.44*1.25)+5352.11*150</f>
        <v>6115714.8000000007</v>
      </c>
      <c r="Q50" s="41">
        <f>2*378.96*250+2*(4204843.44*1.25)+5352.11*250</f>
        <v>12039616.100000001</v>
      </c>
      <c r="R50" s="41">
        <f>378.96*250+(4204843.44*1.25)+5352.11*250</f>
        <v>6688821.8000000007</v>
      </c>
      <c r="S50" s="41">
        <f>2*378.96*670+2*(4204843.44*1.25)+5352.11*670</f>
        <v>14605828.700000001</v>
      </c>
      <c r="T50" s="67">
        <f>378.96*670+(4204843.44*1.25)+5352.11*670</f>
        <v>9095871.2000000011</v>
      </c>
    </row>
    <row r="51" spans="2:20" s="38" customFormat="1" x14ac:dyDescent="0.25">
      <c r="B51" s="118"/>
      <c r="C51" s="120"/>
      <c r="D51" s="60" t="s">
        <v>58</v>
      </c>
      <c r="E51" s="66">
        <f>2*24903.96+2*(1049755.94*1.25)+5352.11*15</f>
        <v>2754479.4199999995</v>
      </c>
      <c r="F51" s="41">
        <f>24903.96+(1049755.94*1.25)+5352.11*15</f>
        <v>1417380.5349999997</v>
      </c>
      <c r="G51" s="41">
        <f>2*24903.96+2*(1049755.94*1.25)+5352.11*150</f>
        <v>3477014.2699999996</v>
      </c>
      <c r="H51" s="41">
        <f>24903.96+(1049755.94*1.25)+5352.11*150</f>
        <v>2139915.3849999998</v>
      </c>
      <c r="I51" s="41">
        <f>2*24903.96+2*(1049755.94*1.25)+5352.11*250</f>
        <v>4012225.2699999996</v>
      </c>
      <c r="J51" s="41">
        <f>24903.96+(1049755.94*1.25)+5352.11*250</f>
        <v>2675126.3849999998</v>
      </c>
      <c r="K51" s="41">
        <f>2*24903.96+2*(1049755.94*1.25)+5352.11*670</f>
        <v>6260111.4699999988</v>
      </c>
      <c r="L51" s="67">
        <f>24903.96+(1049755.94*1.25)+5352.11*670</f>
        <v>4923012.584999999</v>
      </c>
      <c r="M51" s="66">
        <f>2*378.96*15+2*(1049755.94*1.25)+5352.11*15</f>
        <v>2716040.2999999993</v>
      </c>
      <c r="N51" s="41">
        <f>378.96*15+(1049755.94*1.25)+5352.11*15</f>
        <v>1398160.9749999996</v>
      </c>
      <c r="O51" s="41">
        <f>2*378.96*150+2*(1049755.94*1.25)+5352.11*150</f>
        <v>3540894.3499999996</v>
      </c>
      <c r="P51" s="41">
        <f>378.96*150+(1049755.94*1.25)+5352.11*150</f>
        <v>2171855.4249999998</v>
      </c>
      <c r="Q51" s="41">
        <f>2*378.96*250+2*(1049755.94*1.25)+5352.11*250</f>
        <v>4151897.3499999996</v>
      </c>
      <c r="R51" s="41">
        <f>378.96*250+(1049755.94*1.25)+5352.11*250</f>
        <v>2744962.4249999998</v>
      </c>
      <c r="S51" s="41">
        <f>2*378.96*670+2*(1049755.94*1.25)+5352.11*670</f>
        <v>6718109.9499999993</v>
      </c>
      <c r="T51" s="67">
        <f>378.96*670+(1049755.94*1.25)+5352.11*670</f>
        <v>5152011.8249999993</v>
      </c>
    </row>
    <row r="52" spans="2:20" s="38" customFormat="1" x14ac:dyDescent="0.25">
      <c r="B52" s="118"/>
      <c r="C52" s="120" t="s">
        <v>59</v>
      </c>
      <c r="D52" s="60" t="s">
        <v>57</v>
      </c>
      <c r="E52" s="66">
        <f>2*24903+2*(4204843.44*1.25)</f>
        <v>10561914.600000001</v>
      </c>
      <c r="F52" s="41">
        <f>24903+(4204843.44*1.25)</f>
        <v>5280957.3000000007</v>
      </c>
      <c r="G52" s="41">
        <f>2*24903+2*(4204843.44*1.25)</f>
        <v>10561914.600000001</v>
      </c>
      <c r="H52" s="41">
        <f>24903+(4204843.44*1.25)</f>
        <v>5280957.3000000007</v>
      </c>
      <c r="I52" s="41">
        <f>2*24903+2*(4204843.44*1.25)</f>
        <v>10561914.600000001</v>
      </c>
      <c r="J52" s="41">
        <f>24903+(4204843.44*1.25)</f>
        <v>5280957.3000000007</v>
      </c>
      <c r="K52" s="41">
        <f>2*24903+2*(4204843.44*1.25)</f>
        <v>10561914.600000001</v>
      </c>
      <c r="L52" s="67">
        <f>24903+(4204843.44*1.25)</f>
        <v>5280957.3000000007</v>
      </c>
      <c r="M52" s="66">
        <f>2*378.96*15+2*(4204843.44*1.25)</f>
        <v>10523477.400000002</v>
      </c>
      <c r="N52" s="41">
        <f>378.96*15+(4204843.44*1.25)</f>
        <v>5261738.7000000011</v>
      </c>
      <c r="O52" s="41">
        <f>2*378.96*150+2*(4204843.44*1.25)</f>
        <v>10625796.600000001</v>
      </c>
      <c r="P52" s="41">
        <f>378.96*150+(4204843.44*1.25)</f>
        <v>5312898.3000000007</v>
      </c>
      <c r="Q52" s="41">
        <f>2*378.96*250+2*(4204843.44*1.25)</f>
        <v>10701588.600000001</v>
      </c>
      <c r="R52" s="41">
        <f>378.96*250+(4204843.44*1.25)</f>
        <v>5350794.3000000007</v>
      </c>
      <c r="S52" s="41">
        <f>2*378.96*670+2*(4204843.44*1.25)</f>
        <v>11019915.000000002</v>
      </c>
      <c r="T52" s="67">
        <f>378.96*670+(4204843.44*1.25)</f>
        <v>5509957.5000000009</v>
      </c>
    </row>
    <row r="53" spans="2:20" s="38" customFormat="1" ht="15.75" thickBot="1" x14ac:dyDescent="0.3">
      <c r="B53" s="119"/>
      <c r="C53" s="121"/>
      <c r="D53" s="61" t="s">
        <v>58</v>
      </c>
      <c r="E53" s="68">
        <f>2*24903+2*(1049755.94*1.25)</f>
        <v>2674195.8499999996</v>
      </c>
      <c r="F53" s="69">
        <f>24903+(1049755.94*1.25)</f>
        <v>1337097.9249999998</v>
      </c>
      <c r="G53" s="69">
        <f>2*24903+2*(1049755.94*1.25)</f>
        <v>2674195.8499999996</v>
      </c>
      <c r="H53" s="69">
        <f>24903+(1049755.94*1.25)</f>
        <v>1337097.9249999998</v>
      </c>
      <c r="I53" s="69">
        <f>2*24903+2*(1049755.94*1.25)</f>
        <v>2674195.8499999996</v>
      </c>
      <c r="J53" s="69">
        <f>24903+(1049755.94*1.25)</f>
        <v>1337097.9249999998</v>
      </c>
      <c r="K53" s="69">
        <f>2*24903+2*(1049755.94*1.25)</f>
        <v>2674195.8499999996</v>
      </c>
      <c r="L53" s="70">
        <f>24903+(1049755.94*1.25)</f>
        <v>1337097.9249999998</v>
      </c>
      <c r="M53" s="68">
        <f>2*378.96*15+2*(1049755.94*1.25)</f>
        <v>2635758.6499999994</v>
      </c>
      <c r="N53" s="69">
        <f>378.96*15+(1049755.94*1.25)</f>
        <v>1317879.3249999997</v>
      </c>
      <c r="O53" s="69">
        <f>2*378.96*150+2*(1049755.94*1.25)</f>
        <v>2738077.8499999996</v>
      </c>
      <c r="P53" s="69">
        <f>378.96*150+(1049755.94*1.25)</f>
        <v>1369038.9249999998</v>
      </c>
      <c r="Q53" s="69">
        <f>2*378.96*250+2*(1049755.94*1.25)</f>
        <v>2813869.8499999996</v>
      </c>
      <c r="R53" s="69">
        <f>378.96*250+(1049755.94*1.25)</f>
        <v>1406934.9249999998</v>
      </c>
      <c r="S53" s="69">
        <f>2*378.96*670+2*(1049755.94*1.25)</f>
        <v>3132196.2499999995</v>
      </c>
      <c r="T53" s="70">
        <f>378.96*670+(1049755.94*1.25)</f>
        <v>1566098.1249999998</v>
      </c>
    </row>
    <row r="55" spans="2:20" x14ac:dyDescent="0.25">
      <c r="B55" s="21" t="s">
        <v>240</v>
      </c>
      <c r="C55" s="15"/>
      <c r="D55" s="22"/>
    </row>
  </sheetData>
  <mergeCells count="56">
    <mergeCell ref="F36:F37"/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C48:C49"/>
    <mergeCell ref="A28:R28"/>
    <mergeCell ref="A3:R3"/>
    <mergeCell ref="A4:R4"/>
    <mergeCell ref="A8:R8"/>
    <mergeCell ref="A5:R5"/>
    <mergeCell ref="A6:R6"/>
    <mergeCell ref="A7:R7"/>
    <mergeCell ref="A29:R29"/>
    <mergeCell ref="C46:C47"/>
    <mergeCell ref="B34:B37"/>
    <mergeCell ref="C34:C35"/>
    <mergeCell ref="C36:C37"/>
    <mergeCell ref="F40:F41"/>
    <mergeCell ref="F38:F39"/>
    <mergeCell ref="F34:F35"/>
    <mergeCell ref="B50:B53"/>
    <mergeCell ref="C50:C51"/>
    <mergeCell ref="C52:C53"/>
    <mergeCell ref="K30:L30"/>
    <mergeCell ref="B38:B41"/>
    <mergeCell ref="C38:C39"/>
    <mergeCell ref="C40:C41"/>
    <mergeCell ref="B42:B45"/>
    <mergeCell ref="C42:C43"/>
    <mergeCell ref="C44:C45"/>
    <mergeCell ref="B31:D31"/>
    <mergeCell ref="B30:D30"/>
    <mergeCell ref="E30:F30"/>
    <mergeCell ref="G30:H30"/>
    <mergeCell ref="I30:J30"/>
    <mergeCell ref="B46:B49"/>
    <mergeCell ref="R11:R13"/>
    <mergeCell ref="E33:L33"/>
    <mergeCell ref="B33:D33"/>
    <mergeCell ref="M30:N30"/>
    <mergeCell ref="O30:P30"/>
    <mergeCell ref="Q30:R30"/>
    <mergeCell ref="N40:N41"/>
    <mergeCell ref="S30:T30"/>
    <mergeCell ref="M33:T33"/>
    <mergeCell ref="N34:N35"/>
    <mergeCell ref="N36:N37"/>
    <mergeCell ref="N38:N39"/>
  </mergeCells>
  <pageMargins left="0.7" right="0.7" top="0.75" bottom="0.75" header="0.3" footer="0.3"/>
  <pageSetup paperSize="9" scale="34" orientation="landscape" horizontalDpi="180" verticalDpi="180" r:id="rId1"/>
  <rowBreaks count="1" manualBreakCount="1">
    <brk id="55" max="17" man="1"/>
  </rowBreaks>
  <ignoredErrors>
    <ignoredError sqref="J36:J37 K36:K37 J40:J41 K40:K41 F44:L45 F48:L49 F52:J53 K52:K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view="pageBreakPreview" zoomScale="70" zoomScaleSheetLayoutView="70" workbookViewId="0">
      <selection activeCell="P2" sqref="P2"/>
    </sheetView>
  </sheetViews>
  <sheetFormatPr defaultColWidth="12.28515625" defaultRowHeight="15" x14ac:dyDescent="0.25"/>
  <cols>
    <col min="1" max="1" width="5.85546875" style="9" customWidth="1"/>
    <col min="2" max="2" width="27" style="6" customWidth="1"/>
    <col min="3" max="3" width="17.28515625" style="6" customWidth="1"/>
    <col min="4" max="4" width="13.5703125" style="6" customWidth="1"/>
    <col min="5" max="5" width="12.28515625" style="73"/>
    <col min="6" max="6" width="9.42578125" style="6" customWidth="1"/>
    <col min="7" max="7" width="17" style="6" customWidth="1"/>
    <col min="8" max="8" width="13.5703125" style="6" customWidth="1"/>
    <col min="9" max="9" width="10" style="6" customWidth="1"/>
    <col min="10" max="10" width="12.140625" style="6" customWidth="1"/>
    <col min="11" max="11" width="14.140625" style="6" customWidth="1"/>
    <col min="12" max="12" width="9.140625" style="6" customWidth="1"/>
    <col min="13" max="13" width="9.5703125" style="6" customWidth="1"/>
    <col min="14" max="14" width="10.7109375" style="6" customWidth="1"/>
    <col min="15" max="16384" width="12.28515625" style="6"/>
  </cols>
  <sheetData>
    <row r="1" spans="1:17" ht="15.75" x14ac:dyDescent="0.25">
      <c r="A1" s="138" t="s">
        <v>232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3" spans="1:17" ht="51" customHeight="1" x14ac:dyDescent="0.25">
      <c r="A3" s="127" t="s">
        <v>131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s="5" customFormat="1" x14ac:dyDescent="0.25">
      <c r="A4" s="134" t="s">
        <v>133</v>
      </c>
      <c r="B4" s="139" t="s">
        <v>60</v>
      </c>
      <c r="C4" s="139" t="s">
        <v>61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s="5" customFormat="1" ht="36" customHeight="1" x14ac:dyDescent="0.25">
      <c r="A5" s="134"/>
      <c r="B5" s="139"/>
      <c r="C5" s="133" t="s">
        <v>62</v>
      </c>
      <c r="D5" s="133"/>
      <c r="E5" s="133"/>
      <c r="F5" s="133" t="s">
        <v>63</v>
      </c>
      <c r="G5" s="133"/>
      <c r="H5" s="133"/>
      <c r="I5" s="133" t="s">
        <v>64</v>
      </c>
      <c r="J5" s="133"/>
      <c r="K5" s="133"/>
      <c r="L5" s="133" t="s">
        <v>65</v>
      </c>
      <c r="M5" s="133"/>
      <c r="N5" s="133"/>
      <c r="O5" s="133" t="s">
        <v>66</v>
      </c>
      <c r="P5" s="133"/>
      <c r="Q5" s="133"/>
    </row>
    <row r="6" spans="1:17" s="5" customFormat="1" ht="51.75" customHeight="1" x14ac:dyDescent="0.25">
      <c r="A6" s="134"/>
      <c r="B6" s="139"/>
      <c r="C6" s="7" t="s">
        <v>3</v>
      </c>
      <c r="D6" s="7" t="s">
        <v>132</v>
      </c>
      <c r="E6" s="51" t="s">
        <v>5</v>
      </c>
      <c r="F6" s="7" t="s">
        <v>3</v>
      </c>
      <c r="G6" s="7" t="s">
        <v>132</v>
      </c>
      <c r="H6" s="7" t="s">
        <v>5</v>
      </c>
      <c r="I6" s="7" t="s">
        <v>3</v>
      </c>
      <c r="J6" s="7" t="s">
        <v>132</v>
      </c>
      <c r="K6" s="7" t="s">
        <v>5</v>
      </c>
      <c r="L6" s="7" t="s">
        <v>3</v>
      </c>
      <c r="M6" s="7" t="s">
        <v>132</v>
      </c>
      <c r="N6" s="7" t="s">
        <v>5</v>
      </c>
      <c r="O6" s="7" t="s">
        <v>3</v>
      </c>
      <c r="P6" s="7" t="s">
        <v>132</v>
      </c>
      <c r="Q6" s="7" t="s">
        <v>5</v>
      </c>
    </row>
    <row r="7" spans="1:17" s="5" customFormat="1" x14ac:dyDescent="0.25">
      <c r="A7" s="8">
        <v>1</v>
      </c>
      <c r="B7" s="7">
        <v>2</v>
      </c>
      <c r="C7" s="7">
        <v>3</v>
      </c>
      <c r="D7" s="7">
        <v>4</v>
      </c>
      <c r="E7" s="7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</row>
    <row r="8" spans="1:17" s="50" customFormat="1" ht="19.5" customHeight="1" x14ac:dyDescent="0.25">
      <c r="A8" s="44">
        <v>1</v>
      </c>
      <c r="B8" s="49" t="s">
        <v>256</v>
      </c>
      <c r="C8" s="46">
        <v>11</v>
      </c>
      <c r="D8" s="46">
        <f>SUM(D9:D14)</f>
        <v>4</v>
      </c>
      <c r="E8" s="71">
        <f>(D8-C8)/D8</f>
        <v>-1.75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</row>
    <row r="9" spans="1:17" ht="30" x14ac:dyDescent="0.25">
      <c r="A9" s="8" t="s">
        <v>134</v>
      </c>
      <c r="B9" s="10" t="s">
        <v>67</v>
      </c>
      <c r="C9" s="14">
        <v>1</v>
      </c>
      <c r="D9" s="14">
        <v>0</v>
      </c>
      <c r="E9" s="51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spans="1:17" ht="45" x14ac:dyDescent="0.25">
      <c r="A10" s="8" t="s">
        <v>135</v>
      </c>
      <c r="B10" s="10" t="s">
        <v>68</v>
      </c>
      <c r="C10" s="14">
        <v>9</v>
      </c>
      <c r="D10" s="14">
        <v>4</v>
      </c>
      <c r="E10" s="51">
        <f t="shared" ref="E10:E24" si="0">(D10-C10)/D10</f>
        <v>-1.25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1:17" ht="30" x14ac:dyDescent="0.25">
      <c r="A11" s="8" t="s">
        <v>136</v>
      </c>
      <c r="B11" s="10" t="s">
        <v>69</v>
      </c>
      <c r="C11" s="14">
        <v>0</v>
      </c>
      <c r="D11" s="14">
        <v>0</v>
      </c>
      <c r="E11" s="51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x14ac:dyDescent="0.25">
      <c r="A12" s="8" t="s">
        <v>137</v>
      </c>
      <c r="B12" s="10" t="s">
        <v>70</v>
      </c>
      <c r="C12" s="14">
        <v>0</v>
      </c>
      <c r="D12" s="14">
        <v>0</v>
      </c>
      <c r="E12" s="51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spans="1:17" ht="30" x14ac:dyDescent="0.25">
      <c r="A13" s="8" t="s">
        <v>138</v>
      </c>
      <c r="B13" s="10" t="s">
        <v>71</v>
      </c>
      <c r="C13" s="14">
        <v>0</v>
      </c>
      <c r="D13" s="14">
        <v>0</v>
      </c>
      <c r="E13" s="51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1:17" x14ac:dyDescent="0.25">
      <c r="A14" s="8" t="s">
        <v>139</v>
      </c>
      <c r="B14" s="10" t="s">
        <v>72</v>
      </c>
      <c r="C14" s="14">
        <v>0</v>
      </c>
      <c r="D14" s="14">
        <v>0</v>
      </c>
      <c r="E14" s="51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s="48" customFormat="1" ht="17.25" customHeight="1" x14ac:dyDescent="0.25">
      <c r="A15" s="44" t="s">
        <v>140</v>
      </c>
      <c r="B15" s="45" t="s">
        <v>257</v>
      </c>
      <c r="C15" s="46">
        <v>1</v>
      </c>
      <c r="D15" s="46">
        <f>SUM(D16:D23)</f>
        <v>2</v>
      </c>
      <c r="E15" s="71">
        <f t="shared" ref="E15:E23" si="1">(D15-C15)/D15</f>
        <v>0.5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45" x14ac:dyDescent="0.25">
      <c r="A16" s="8" t="s">
        <v>141</v>
      </c>
      <c r="B16" s="10" t="s">
        <v>73</v>
      </c>
      <c r="C16" s="14">
        <v>1</v>
      </c>
      <c r="D16" s="14">
        <v>0</v>
      </c>
      <c r="E16" s="51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ht="30" x14ac:dyDescent="0.25">
      <c r="A17" s="8" t="s">
        <v>142</v>
      </c>
      <c r="B17" s="10" t="s">
        <v>74</v>
      </c>
      <c r="C17" s="14">
        <v>0</v>
      </c>
      <c r="D17" s="14">
        <v>1</v>
      </c>
      <c r="E17" s="51">
        <f t="shared" si="1"/>
        <v>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spans="1:17" ht="30" x14ac:dyDescent="0.25">
      <c r="A18" s="8" t="s">
        <v>143</v>
      </c>
      <c r="B18" s="10" t="s">
        <v>75</v>
      </c>
      <c r="C18" s="14">
        <v>0</v>
      </c>
      <c r="D18" s="14">
        <v>0</v>
      </c>
      <c r="E18" s="51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ht="45" x14ac:dyDescent="0.25">
      <c r="A19" s="8" t="s">
        <v>144</v>
      </c>
      <c r="B19" s="10" t="s">
        <v>68</v>
      </c>
      <c r="C19" s="14">
        <v>0</v>
      </c>
      <c r="D19" s="14">
        <v>0</v>
      </c>
      <c r="E19" s="51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spans="1:17" ht="30" x14ac:dyDescent="0.25">
      <c r="A20" s="8" t="s">
        <v>145</v>
      </c>
      <c r="B20" s="10" t="s">
        <v>69</v>
      </c>
      <c r="C20" s="14">
        <v>0</v>
      </c>
      <c r="D20" s="14">
        <v>0</v>
      </c>
      <c r="E20" s="51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x14ac:dyDescent="0.25">
      <c r="A21" s="8" t="s">
        <v>146</v>
      </c>
      <c r="B21" s="10" t="s">
        <v>70</v>
      </c>
      <c r="C21" s="14">
        <v>0</v>
      </c>
      <c r="D21" s="14">
        <v>0</v>
      </c>
      <c r="E21" s="51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ht="45" x14ac:dyDescent="0.25">
      <c r="A22" s="8" t="s">
        <v>147</v>
      </c>
      <c r="B22" s="10" t="s">
        <v>76</v>
      </c>
      <c r="C22" s="14">
        <v>0</v>
      </c>
      <c r="D22" s="14">
        <v>0</v>
      </c>
      <c r="E22" s="51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x14ac:dyDescent="0.25">
      <c r="A23" s="8" t="s">
        <v>148</v>
      </c>
      <c r="B23" s="10" t="s">
        <v>72</v>
      </c>
      <c r="C23" s="14">
        <v>0</v>
      </c>
      <c r="D23" s="14">
        <v>1</v>
      </c>
      <c r="E23" s="51">
        <f t="shared" si="1"/>
        <v>1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48" customFormat="1" ht="21" customHeight="1" x14ac:dyDescent="0.25">
      <c r="A24" s="44" t="s">
        <v>149</v>
      </c>
      <c r="B24" s="45" t="s">
        <v>255</v>
      </c>
      <c r="C24" s="46">
        <f>SUM(C25:C28)</f>
        <v>10</v>
      </c>
      <c r="D24" s="46">
        <f>SUM(D25:D28)</f>
        <v>114</v>
      </c>
      <c r="E24" s="71">
        <f t="shared" si="0"/>
        <v>0.91228070175438591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</row>
    <row r="25" spans="1:17" ht="30" x14ac:dyDescent="0.25">
      <c r="A25" s="8" t="s">
        <v>150</v>
      </c>
      <c r="B25" s="10" t="s">
        <v>26</v>
      </c>
      <c r="C25" s="14">
        <v>9</v>
      </c>
      <c r="D25" s="14">
        <v>81</v>
      </c>
      <c r="E25" s="51">
        <f>(D25-C25)/D25</f>
        <v>0.88888888888888884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ht="45" x14ac:dyDescent="0.25">
      <c r="A26" s="8" t="s">
        <v>151</v>
      </c>
      <c r="B26" s="10" t="s">
        <v>77</v>
      </c>
      <c r="C26" s="14">
        <v>1</v>
      </c>
      <c r="D26" s="14">
        <v>0</v>
      </c>
      <c r="E26" s="51">
        <v>1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ht="45" x14ac:dyDescent="0.25">
      <c r="A27" s="8" t="s">
        <v>152</v>
      </c>
      <c r="B27" s="10" t="s">
        <v>78</v>
      </c>
      <c r="C27" s="14">
        <v>0</v>
      </c>
      <c r="D27" s="14">
        <v>33</v>
      </c>
      <c r="E27" s="51">
        <f>(D27-C27)/D27</f>
        <v>1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x14ac:dyDescent="0.25">
      <c r="A28" s="8" t="s">
        <v>153</v>
      </c>
      <c r="B28" s="10" t="s">
        <v>72</v>
      </c>
      <c r="C28" s="14">
        <v>0</v>
      </c>
      <c r="D28" s="14">
        <v>0</v>
      </c>
      <c r="E28" s="51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30" spans="1:17" x14ac:dyDescent="0.25">
      <c r="A30" s="127" t="s">
        <v>79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s="5" customFormat="1" ht="159" customHeight="1" x14ac:dyDescent="0.25">
      <c r="A31" s="8" t="s">
        <v>133</v>
      </c>
      <c r="B31" s="7" t="s">
        <v>80</v>
      </c>
      <c r="C31" s="7" t="s">
        <v>81</v>
      </c>
      <c r="D31" s="7" t="s">
        <v>82</v>
      </c>
      <c r="E31" s="51" t="s">
        <v>83</v>
      </c>
      <c r="F31" s="7" t="s">
        <v>84</v>
      </c>
      <c r="G31" s="7" t="s">
        <v>85</v>
      </c>
      <c r="H31" s="7" t="s">
        <v>86</v>
      </c>
      <c r="I31" s="7" t="s">
        <v>87</v>
      </c>
      <c r="J31" s="7" t="s">
        <v>88</v>
      </c>
      <c r="K31" s="7" t="s">
        <v>89</v>
      </c>
    </row>
    <row r="32" spans="1:17" x14ac:dyDescent="0.25">
      <c r="A32" s="11">
        <v>1</v>
      </c>
      <c r="B32" s="7">
        <v>2</v>
      </c>
      <c r="C32" s="11">
        <v>3</v>
      </c>
      <c r="D32" s="7">
        <v>4</v>
      </c>
      <c r="E32" s="51">
        <v>5</v>
      </c>
      <c r="F32" s="7">
        <v>6</v>
      </c>
      <c r="G32" s="11">
        <v>7</v>
      </c>
      <c r="H32" s="7">
        <v>8</v>
      </c>
      <c r="I32" s="11">
        <v>9</v>
      </c>
      <c r="J32" s="7">
        <v>10</v>
      </c>
      <c r="K32" s="11">
        <v>11</v>
      </c>
    </row>
    <row r="33" spans="1:17" ht="98.25" customHeight="1" x14ac:dyDescent="0.25">
      <c r="A33" s="8" t="s">
        <v>155</v>
      </c>
      <c r="B33" s="140" t="s">
        <v>157</v>
      </c>
      <c r="C33" s="10" t="s">
        <v>204</v>
      </c>
      <c r="D33" s="10" t="s">
        <v>158</v>
      </c>
      <c r="E33" s="52" t="s">
        <v>160</v>
      </c>
      <c r="F33" s="14" t="s">
        <v>203</v>
      </c>
      <c r="G33" s="140" t="s">
        <v>117</v>
      </c>
      <c r="H33" s="7" t="s">
        <v>154</v>
      </c>
      <c r="I33" s="7" t="s">
        <v>154</v>
      </c>
      <c r="J33" s="7" t="s">
        <v>154</v>
      </c>
      <c r="K33" s="7" t="s">
        <v>154</v>
      </c>
    </row>
    <row r="34" spans="1:17" ht="183.75" customHeight="1" x14ac:dyDescent="0.25">
      <c r="A34" s="8" t="s">
        <v>140</v>
      </c>
      <c r="B34" s="141"/>
      <c r="C34" s="10" t="s">
        <v>205</v>
      </c>
      <c r="D34" s="142" t="s">
        <v>206</v>
      </c>
      <c r="E34" s="143"/>
      <c r="F34" s="14" t="s">
        <v>118</v>
      </c>
      <c r="G34" s="141"/>
      <c r="H34" s="7" t="s">
        <v>154</v>
      </c>
      <c r="I34" s="7" t="s">
        <v>154</v>
      </c>
      <c r="J34" s="7" t="s">
        <v>154</v>
      </c>
      <c r="K34" s="7" t="s">
        <v>154</v>
      </c>
    </row>
    <row r="36" spans="1:17" x14ac:dyDescent="0.25">
      <c r="A36" s="127" t="s">
        <v>161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</row>
    <row r="38" spans="1:17" x14ac:dyDescent="0.25">
      <c r="A38" s="8" t="s">
        <v>133</v>
      </c>
      <c r="B38" s="7" t="s">
        <v>90</v>
      </c>
      <c r="C38" s="10"/>
      <c r="D38" s="10"/>
    </row>
    <row r="39" spans="1:17" ht="135" x14ac:dyDescent="0.25">
      <c r="A39" s="8" t="s">
        <v>155</v>
      </c>
      <c r="B39" s="10" t="s">
        <v>162</v>
      </c>
      <c r="C39" s="10" t="s">
        <v>91</v>
      </c>
      <c r="D39" s="7" t="s">
        <v>159</v>
      </c>
    </row>
    <row r="40" spans="1:17" ht="60" x14ac:dyDescent="0.25">
      <c r="A40" s="8" t="s">
        <v>140</v>
      </c>
      <c r="B40" s="10" t="s">
        <v>163</v>
      </c>
      <c r="C40" s="10" t="s">
        <v>92</v>
      </c>
      <c r="D40" s="7" t="s">
        <v>154</v>
      </c>
    </row>
    <row r="41" spans="1:17" ht="75" x14ac:dyDescent="0.25">
      <c r="A41" s="8" t="s">
        <v>141</v>
      </c>
      <c r="B41" s="10" t="s">
        <v>93</v>
      </c>
      <c r="C41" s="10" t="s">
        <v>92</v>
      </c>
      <c r="D41" s="7" t="s">
        <v>154</v>
      </c>
    </row>
    <row r="42" spans="1:17" ht="90" x14ac:dyDescent="0.25">
      <c r="A42" s="8" t="s">
        <v>144</v>
      </c>
      <c r="B42" s="10" t="s">
        <v>94</v>
      </c>
      <c r="C42" s="10" t="s">
        <v>92</v>
      </c>
      <c r="D42" s="7" t="s">
        <v>154</v>
      </c>
    </row>
    <row r="43" spans="1:17" ht="90" x14ac:dyDescent="0.25">
      <c r="A43" s="8" t="s">
        <v>149</v>
      </c>
      <c r="B43" s="10" t="s">
        <v>95</v>
      </c>
      <c r="C43" s="10" t="s">
        <v>164</v>
      </c>
      <c r="D43" s="7" t="s">
        <v>154</v>
      </c>
    </row>
    <row r="44" spans="1:17" ht="75" x14ac:dyDescent="0.25">
      <c r="A44" s="8" t="s">
        <v>156</v>
      </c>
      <c r="B44" s="10" t="s">
        <v>96</v>
      </c>
      <c r="C44" s="10" t="s">
        <v>164</v>
      </c>
      <c r="D44" s="7" t="s">
        <v>154</v>
      </c>
    </row>
    <row r="46" spans="1:17" s="4" customFormat="1" ht="36.75" customHeight="1" x14ac:dyDescent="0.25">
      <c r="A46" s="125" t="s">
        <v>165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33"/>
      <c r="Q46" s="33"/>
    </row>
    <row r="47" spans="1:17" ht="15" customHeight="1" x14ac:dyDescent="0.25">
      <c r="A47" s="125" t="s">
        <v>166</v>
      </c>
      <c r="B47" s="125"/>
      <c r="C47" s="125"/>
      <c r="D47" s="125"/>
      <c r="E47" s="125"/>
      <c r="F47" s="125"/>
      <c r="G47" s="125"/>
      <c r="H47" s="125"/>
      <c r="I47" s="125"/>
      <c r="J47" s="125"/>
      <c r="K47" s="42"/>
      <c r="L47" s="42"/>
      <c r="M47" s="42"/>
      <c r="N47" s="42"/>
      <c r="O47" s="42"/>
      <c r="P47" s="42"/>
      <c r="Q47" s="42"/>
    </row>
    <row r="48" spans="1:17" x14ac:dyDescent="0.25">
      <c r="A48" s="43"/>
      <c r="B48" s="42"/>
      <c r="C48" s="42"/>
      <c r="D48" s="42"/>
      <c r="E48" s="74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41" ht="19.5" customHeight="1" x14ac:dyDescent="0.25">
      <c r="A49" s="125" t="s">
        <v>254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42"/>
      <c r="Q49" s="42"/>
    </row>
    <row r="50" spans="1:41" ht="34.5" customHeight="1" x14ac:dyDescent="0.25">
      <c r="A50" s="125" t="s">
        <v>253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42"/>
      <c r="Q50" s="42"/>
    </row>
    <row r="51" spans="1:41" x14ac:dyDescent="0.25">
      <c r="A51" s="136" t="s">
        <v>167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42"/>
      <c r="Q51" s="42"/>
    </row>
    <row r="52" spans="1:41" x14ac:dyDescent="0.25">
      <c r="A52" s="43"/>
      <c r="B52" s="42"/>
      <c r="C52" s="42"/>
      <c r="D52" s="42"/>
      <c r="E52" s="74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41" ht="36" customHeight="1" x14ac:dyDescent="0.25">
      <c r="A53" s="135" t="s">
        <v>168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42"/>
      <c r="Q53" s="42"/>
    </row>
    <row r="54" spans="1:41" x14ac:dyDescent="0.25">
      <c r="A54" s="137" t="s">
        <v>169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42"/>
      <c r="Q54" s="42"/>
    </row>
    <row r="55" spans="1:41" x14ac:dyDescent="0.25">
      <c r="A55" s="43"/>
      <c r="B55" s="42"/>
      <c r="C55" s="42"/>
      <c r="D55" s="42"/>
      <c r="E55" s="74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41" x14ac:dyDescent="0.25">
      <c r="A56" s="135" t="s">
        <v>170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42"/>
      <c r="Q56" s="42"/>
    </row>
    <row r="57" spans="1:41" x14ac:dyDescent="0.25">
      <c r="A57" s="136" t="s">
        <v>171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42"/>
      <c r="Q57" s="42"/>
    </row>
    <row r="58" spans="1:41" x14ac:dyDescent="0.25">
      <c r="A58" s="136" t="s">
        <v>172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42"/>
      <c r="Q58" s="42"/>
    </row>
    <row r="59" spans="1:41" x14ac:dyDescent="0.25">
      <c r="A59" s="43"/>
      <c r="B59" s="42"/>
      <c r="C59" s="42"/>
      <c r="D59" s="42"/>
      <c r="E59" s="74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41" x14ac:dyDescent="0.25">
      <c r="A60" s="125" t="s">
        <v>173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1:41" s="5" customFormat="1" ht="39.75" customHeight="1" x14ac:dyDescent="0.25">
      <c r="A61" s="134" t="s">
        <v>133</v>
      </c>
      <c r="B61" s="133" t="s">
        <v>174</v>
      </c>
      <c r="C61" s="133" t="s">
        <v>175</v>
      </c>
      <c r="D61" s="133" t="s">
        <v>176</v>
      </c>
      <c r="E61" s="133" t="s">
        <v>177</v>
      </c>
      <c r="F61" s="133"/>
      <c r="G61" s="133"/>
      <c r="H61" s="133"/>
      <c r="I61" s="133" t="s">
        <v>182</v>
      </c>
      <c r="J61" s="133"/>
      <c r="K61" s="133"/>
      <c r="L61" s="133"/>
      <c r="M61" s="133"/>
      <c r="N61" s="133"/>
      <c r="O61" s="133" t="s">
        <v>188</v>
      </c>
      <c r="P61" s="133"/>
      <c r="Q61" s="133"/>
      <c r="R61" s="133"/>
      <c r="S61" s="133"/>
      <c r="T61" s="133"/>
      <c r="U61" s="133"/>
      <c r="V61" s="133" t="s">
        <v>192</v>
      </c>
      <c r="W61" s="133"/>
      <c r="X61" s="133"/>
      <c r="Y61" s="133"/>
      <c r="Z61" s="133" t="s">
        <v>196</v>
      </c>
      <c r="AA61" s="133"/>
      <c r="AB61" s="133"/>
      <c r="AC61" s="133" t="s">
        <v>200</v>
      </c>
      <c r="AD61" s="133"/>
    </row>
    <row r="62" spans="1:41" s="5" customFormat="1" ht="211.5" customHeight="1" x14ac:dyDescent="0.25">
      <c r="A62" s="134"/>
      <c r="B62" s="133"/>
      <c r="C62" s="133"/>
      <c r="D62" s="133"/>
      <c r="E62" s="75" t="s">
        <v>178</v>
      </c>
      <c r="F62" s="12" t="s">
        <v>179</v>
      </c>
      <c r="G62" s="12" t="s">
        <v>180</v>
      </c>
      <c r="H62" s="12" t="s">
        <v>181</v>
      </c>
      <c r="I62" s="12" t="s">
        <v>183</v>
      </c>
      <c r="J62" s="12" t="s">
        <v>184</v>
      </c>
      <c r="K62" s="12" t="s">
        <v>185</v>
      </c>
      <c r="L62" s="12" t="s">
        <v>186</v>
      </c>
      <c r="M62" s="12" t="s">
        <v>187</v>
      </c>
      <c r="N62" s="12" t="s">
        <v>66</v>
      </c>
      <c r="O62" s="12" t="s">
        <v>189</v>
      </c>
      <c r="P62" s="12" t="s">
        <v>190</v>
      </c>
      <c r="Q62" s="12" t="s">
        <v>191</v>
      </c>
      <c r="R62" s="12" t="s">
        <v>185</v>
      </c>
      <c r="S62" s="12" t="s">
        <v>186</v>
      </c>
      <c r="T62" s="12" t="s">
        <v>187</v>
      </c>
      <c r="U62" s="12" t="s">
        <v>66</v>
      </c>
      <c r="V62" s="12" t="s">
        <v>193</v>
      </c>
      <c r="W62" s="12" t="s">
        <v>194</v>
      </c>
      <c r="X62" s="12" t="s">
        <v>195</v>
      </c>
      <c r="Y62" s="12" t="s">
        <v>66</v>
      </c>
      <c r="Z62" s="12" t="s">
        <v>197</v>
      </c>
      <c r="AA62" s="12" t="s">
        <v>198</v>
      </c>
      <c r="AB62" s="12" t="s">
        <v>199</v>
      </c>
      <c r="AC62" s="12" t="s">
        <v>201</v>
      </c>
      <c r="AD62" s="12" t="s">
        <v>202</v>
      </c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25">
      <c r="A63" s="11">
        <v>1</v>
      </c>
      <c r="B63" s="7">
        <v>2</v>
      </c>
      <c r="C63" s="11">
        <v>3</v>
      </c>
      <c r="D63" s="7">
        <v>4</v>
      </c>
      <c r="E63" s="76">
        <v>5</v>
      </c>
      <c r="F63" s="7">
        <v>6</v>
      </c>
      <c r="G63" s="11">
        <v>7</v>
      </c>
      <c r="H63" s="7">
        <v>8</v>
      </c>
      <c r="I63" s="11">
        <v>9</v>
      </c>
      <c r="J63" s="7">
        <v>10</v>
      </c>
      <c r="K63" s="11">
        <v>11</v>
      </c>
      <c r="L63" s="7">
        <v>12</v>
      </c>
      <c r="M63" s="11">
        <v>13</v>
      </c>
      <c r="N63" s="7">
        <v>14</v>
      </c>
      <c r="O63" s="11">
        <v>15</v>
      </c>
      <c r="P63" s="7">
        <v>16</v>
      </c>
      <c r="Q63" s="11">
        <v>17</v>
      </c>
      <c r="R63" s="7">
        <v>18</v>
      </c>
      <c r="S63" s="11">
        <v>19</v>
      </c>
      <c r="T63" s="7">
        <v>20</v>
      </c>
      <c r="U63" s="11">
        <v>21</v>
      </c>
      <c r="V63" s="7">
        <v>22</v>
      </c>
      <c r="W63" s="11">
        <v>23</v>
      </c>
      <c r="X63" s="7">
        <v>24</v>
      </c>
      <c r="Y63" s="11">
        <v>25</v>
      </c>
      <c r="Z63" s="7">
        <v>26</v>
      </c>
      <c r="AA63" s="11">
        <v>27</v>
      </c>
      <c r="AB63" s="7">
        <v>28</v>
      </c>
      <c r="AC63" s="11">
        <v>29</v>
      </c>
      <c r="AD63" s="7">
        <v>30</v>
      </c>
    </row>
    <row r="64" spans="1:41" ht="30" x14ac:dyDescent="0.25">
      <c r="A64" s="11"/>
      <c r="B64" s="27" t="s">
        <v>259</v>
      </c>
      <c r="C64" s="34" t="s">
        <v>258</v>
      </c>
      <c r="D64" s="24" t="s">
        <v>241</v>
      </c>
      <c r="E64" s="51" t="s">
        <v>242</v>
      </c>
      <c r="F64" s="24" t="s">
        <v>154</v>
      </c>
      <c r="G64" s="24" t="s">
        <v>154</v>
      </c>
      <c r="H64" s="24" t="s">
        <v>154</v>
      </c>
      <c r="I64" s="24" t="s">
        <v>154</v>
      </c>
      <c r="J64" s="24" t="s">
        <v>242</v>
      </c>
      <c r="K64" s="11" t="s">
        <v>154</v>
      </c>
      <c r="L64" s="11" t="s">
        <v>154</v>
      </c>
      <c r="M64" s="11" t="s">
        <v>154</v>
      </c>
      <c r="N64" s="11" t="s">
        <v>154</v>
      </c>
      <c r="O64" s="11" t="s">
        <v>154</v>
      </c>
      <c r="P64" s="11" t="s">
        <v>154</v>
      </c>
      <c r="Q64" s="11" t="s">
        <v>154</v>
      </c>
      <c r="R64" s="11" t="s">
        <v>154</v>
      </c>
      <c r="S64" s="11" t="s">
        <v>154</v>
      </c>
      <c r="T64" s="11" t="s">
        <v>154</v>
      </c>
      <c r="U64" s="11" t="s">
        <v>154</v>
      </c>
      <c r="V64" s="24" t="s">
        <v>242</v>
      </c>
      <c r="W64" s="11" t="s">
        <v>154</v>
      </c>
      <c r="X64" s="11" t="s">
        <v>154</v>
      </c>
      <c r="Y64" s="11" t="s">
        <v>154</v>
      </c>
      <c r="Z64" s="24" t="s">
        <v>243</v>
      </c>
      <c r="AA64" s="11" t="s">
        <v>154</v>
      </c>
      <c r="AB64" s="11" t="s">
        <v>154</v>
      </c>
      <c r="AC64" s="11" t="s">
        <v>242</v>
      </c>
      <c r="AD64" s="24" t="s">
        <v>154</v>
      </c>
    </row>
  </sheetData>
  <mergeCells count="36"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I61:N61"/>
    <mergeCell ref="O61:U61"/>
    <mergeCell ref="V61:Y61"/>
    <mergeCell ref="Z61:AB61"/>
  </mergeCells>
  <pageMargins left="0.7" right="0.7" top="0.75" bottom="0.75" header="0.3" footer="0.3"/>
  <pageSetup paperSize="9" scale="34" orientation="landscape" r:id="rId1"/>
  <rowBreaks count="1" manualBreakCount="1">
    <brk id="35" max="16383" man="1"/>
  </rowBreaks>
  <ignoredErrors>
    <ignoredError sqref="A15 A24 A33 A43:A44 C64" numberStoredAsText="1"/>
    <ignoredError sqref="A17:A18" twoDigitTextYear="1"/>
    <ignoredError sqref="D8:E8 E10 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Общ. инфор.</vt:lpstr>
      <vt:lpstr>2 Показат. кач. передача</vt:lpstr>
      <vt:lpstr>3 Показатели кач. тех. прис.</vt:lpstr>
      <vt:lpstr>4 Качество обслуживания</vt:lpstr>
      <vt:lpstr>'1 Общ. инфор.'!Область_печати</vt:lpstr>
      <vt:lpstr>'2 Показат. кач. передача'!Область_печати</vt:lpstr>
      <vt:lpstr>'3 Показатели кач. тех. прис.'!Область_печати</vt:lpstr>
      <vt:lpstr>'4 Качество обслуживания'!Область_печати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2018-03-30T12:47:16Z</dcterms:modified>
</cp:coreProperties>
</file>