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786"/>
  </bookViews>
  <sheets>
    <sheet name="1 Общ. инфор." sheetId="8" r:id="rId1"/>
    <sheet name="2 Показат. кач. передача" sheetId="1" r:id="rId2"/>
    <sheet name="3 Показатели кач. тех. прис." sheetId="3" r:id="rId3"/>
    <sheet name="4 Качество обслуживания" sheetId="4" r:id="rId4"/>
  </sheets>
  <definedNames>
    <definedName name="_xlnm.Print_Area" localSheetId="0">'1 Общ. инфор.'!$A$1:$N$34</definedName>
    <definedName name="_xlnm.Print_Area" localSheetId="1">'2 Показат. кач. передача'!$A$1:$T$49</definedName>
    <definedName name="_xlnm.Print_Area" localSheetId="2">'3 Показатели кач. тех. прис.'!$A$1:$R$54</definedName>
    <definedName name="_xlnm.Print_Area" localSheetId="3">'4 Качество обслуживания'!$A$1:$AD$75</definedName>
  </definedNames>
  <calcPr calcId="124519"/>
</workbook>
</file>

<file path=xl/calcChain.xml><?xml version="1.0" encoding="utf-8"?>
<calcChain xmlns="http://schemas.openxmlformats.org/spreadsheetml/2006/main">
  <c r="L52" i="3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F52"/>
  <c r="F51"/>
  <c r="F50"/>
  <c r="F49"/>
  <c r="F48"/>
  <c r="F47"/>
  <c r="F46"/>
  <c r="F45"/>
  <c r="F44"/>
  <c r="F43"/>
  <c r="F42"/>
  <c r="F41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C24" i="1"/>
  <c r="C23"/>
  <c r="C18"/>
  <c r="C17"/>
  <c r="C12"/>
  <c r="D12"/>
  <c r="E9" i="4" l="1"/>
  <c r="E10"/>
  <c r="E15"/>
  <c r="E16"/>
  <c r="E24"/>
  <c r="E25"/>
  <c r="E26"/>
  <c r="E8"/>
  <c r="R26" i="3" l="1"/>
  <c r="R21"/>
  <c r="R20"/>
  <c r="R16"/>
  <c r="R15"/>
  <c r="K16"/>
  <c r="K20"/>
  <c r="K21"/>
  <c r="K22"/>
  <c r="K26"/>
  <c r="K15"/>
  <c r="H16"/>
  <c r="H20"/>
  <c r="H21"/>
  <c r="H22"/>
  <c r="H26"/>
  <c r="H15"/>
  <c r="E15"/>
  <c r="D41" i="1" l="1"/>
  <c r="G41"/>
  <c r="H41"/>
  <c r="K41"/>
  <c r="L41"/>
  <c r="O41"/>
  <c r="P41"/>
  <c r="Q41"/>
  <c r="R41"/>
  <c r="S41"/>
  <c r="T41"/>
  <c r="C41"/>
  <c r="F40"/>
  <c r="F41" s="1"/>
  <c r="E40"/>
  <c r="E41" s="1"/>
  <c r="E7"/>
  <c r="D24"/>
  <c r="N40" s="1"/>
  <c r="N41" s="1"/>
  <c r="D23"/>
  <c r="M40" s="1"/>
  <c r="M41" s="1"/>
  <c r="D18"/>
  <c r="J40" s="1"/>
  <c r="J41" s="1"/>
  <c r="D17"/>
  <c r="I40" s="1"/>
  <c r="I41" s="1"/>
  <c r="R17" i="3" l="1"/>
  <c r="R18"/>
  <c r="R19"/>
  <c r="R22"/>
  <c r="R23"/>
  <c r="R24"/>
  <c r="R25"/>
  <c r="D11" i="1" l="1"/>
  <c r="C11"/>
  <c r="E11" l="1"/>
</calcChain>
</file>

<file path=xl/sharedStrings.xml><?xml version="1.0" encoding="utf-8"?>
<sst xmlns="http://schemas.openxmlformats.org/spreadsheetml/2006/main" count="749" uniqueCount="283">
  <si>
    <t>Показатель</t>
  </si>
  <si>
    <t>Значение показателя, годы</t>
  </si>
  <si>
    <t>N</t>
  </si>
  <si>
    <t>N-1</t>
  </si>
  <si>
    <t>N (текущий год)</t>
  </si>
  <si>
    <t>Динамика изменения показателя</t>
  </si>
  <si>
    <t>ВН (110 кВ и выше)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</si>
  <si>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</si>
  <si>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</si>
  <si>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</si>
  <si>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</si>
  <si>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</si>
  <si>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</si>
  <si>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 </t>
  </si>
  <si>
    <t>Показатель средней частоты прекращений передачи электрической энергии, 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</si>
  <si>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</si>
  <si>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</si>
  <si>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</si>
  <si>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</si>
  <si>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</si>
  <si>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</si>
  <si>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</si>
  <si>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</si>
  <si>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n</t>
  </si>
  <si>
    <t>Всего по сетевой организации</t>
  </si>
  <si>
    <t>2.4. Прочая информация, которую сетевая организация считает целесообразной для включения в отчет, касающаяся качества оказания услуг по передаче электрической энергии, заполняется в произвольной форме.</t>
  </si>
  <si>
    <t>по технологическому присоединению</t>
  </si>
  <si>
    <t>3.3.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присоединению, заполняется в произвольной форме.</t>
  </si>
  <si>
    <t>3.4. Сведения о качестве услуг по технологическому присоединению к электрическим сетям сетевой организации.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</si>
  <si>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</si>
  <si>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</si>
  <si>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</si>
  <si>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</si>
  <si>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</si>
  <si>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</si>
  <si>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</si>
  <si>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</si>
  <si>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</si>
  <si>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</si>
  <si>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</si>
  <si>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</si>
  <si>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</si>
  <si>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</si>
  <si>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</si>
  <si>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</si>
  <si>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</si>
  <si>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</si>
  <si>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</si>
  <si>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</si>
  <si>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</si>
  <si>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</si>
  <si>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</si>
  <si>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</si>
  <si>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</si>
  <si>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</si>
  <si>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</si>
  <si>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Да</t>
  </si>
  <si>
    <t>КЛ</t>
  </si>
  <si>
    <t>ВЛ</t>
  </si>
  <si>
    <t>Нет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</si>
  <si>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</si>
  <si>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</si>
  <si>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</si>
  <si>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</si>
  <si>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</si>
  <si>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</si>
  <si>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</si>
  <si>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</si>
  <si>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</si>
  <si>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</si>
  <si>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</si>
  <si>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</si>
  <si>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</si>
  <si>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</si>
  <si>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</si>
  <si>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</si>
  <si>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</si>
  <si>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</si>
  <si>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</si>
  <si>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</si>
  <si>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</si>
  <si>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4.2 Информация о деятельности офисов обслуживания потребителей.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</si>
  <si>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</si>
  <si>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</si>
  <si>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</si>
  <si>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</si>
  <si>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</si>
  <si>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</si>
  <si>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</si>
  <si>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</si>
  <si>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</si>
  <si>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</si>
  <si>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Наименование</t>
  </si>
  <si>
    <t>номер телефона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</si>
  <si>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</si>
  <si>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</si>
  <si>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</si>
  <si>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</si>
  <si>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Среднее время обработки телефонного вызова от потребителя на выделенные номера телефонов за текущий период</t>
  </si>
  <si>
    <t>1.1.</t>
  </si>
  <si>
    <t>1.2.</t>
  </si>
  <si>
    <t>1.3.</t>
  </si>
  <si>
    <t>1.4.</t>
  </si>
  <si>
    <t>2.1.</t>
  </si>
  <si>
    <t>2.2.</t>
  </si>
  <si>
    <t>2.3.</t>
  </si>
  <si>
    <t>2.4.</t>
  </si>
  <si>
    <t>3.1.</t>
  </si>
  <si>
    <t>3.2.</t>
  </si>
  <si>
    <t>3.3.</t>
  </si>
  <si>
    <t>3.4.</t>
  </si>
  <si>
    <t>4.1.</t>
  </si>
  <si>
    <t>4.2.</t>
  </si>
  <si>
    <t>4.3.</t>
  </si>
  <si>
    <t>4.4.</t>
  </si>
  <si>
    <t>5.1.</t>
  </si>
  <si>
    <t>7.1.</t>
  </si>
  <si>
    <t>7.2.</t>
  </si>
  <si>
    <t>-</t>
  </si>
  <si>
    <t>Прием и консультации потребителей электрической энергии и мощности в части технологического присоединения, оказания услуг по передаче электрической энергии и мощности, показатели качества электрической энергии и прочей деятельности</t>
  </si>
  <si>
    <t>круглосуточно</t>
  </si>
  <si>
    <t>2.2. Рейтинг структурных единиц сетевой организации ИП Кацман В.В. по качеству оказания услуг по передаче электрической энергии, а также по качеству электрической энергии в отчетном периоде.</t>
  </si>
  <si>
    <t>3. Информация о качестве услуг по технологическому присоединению к сетям сетевой организации ИП Кацман В.В.</t>
  </si>
  <si>
    <t xml:space="preserve">2.1 Показатели качества услуг по передача электроэнергии в целом по сетевой организации в отчетном периоде, а также динамика по отношению к прошлому году </t>
  </si>
  <si>
    <r>
      <t xml:space="preserve"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организации, заполняется в произвольной форме. </t>
    </r>
    <r>
      <rPr>
        <b/>
        <sz val="10"/>
        <color theme="1"/>
        <rFont val="Times New Roman"/>
        <family val="1"/>
        <charset val="204"/>
      </rPr>
      <t>Раскрытию не подлежит, ввиду отсутствия для ИП Кацман В.В. инвестиционной программы, утвержденной РЭК Омской области.</t>
    </r>
  </si>
  <si>
    <t xml:space="preserve">2. Для упрощения процесса подачи заявки на технологическое присоединение через официальный сайт запущен модуль: "Окно подачи заявок";    </t>
  </si>
  <si>
    <t xml:space="preserve">3.2. 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форме: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</si>
  <si>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3. Для подачи заявок выбраны удобные часы работы "Клиентского центра"; </t>
  </si>
  <si>
    <t xml:space="preserve">1. Проведены разъяснения с персоналом о необходимости тактичного общения с заявителями, желающими подать заявку на тех. присоединение, а также введена политика клиентоориентированности организации;              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</si>
  <si>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периоде, заполняется в произвольной форме:</t>
  </si>
  <si>
    <t>1. На официальном сайте для оперативности реагирования в случае возникновения аварийной ситуации размещен телефон горячей линии;</t>
  </si>
  <si>
    <t>2. Обновлен автопарк машин бригад ОВБ;</t>
  </si>
  <si>
    <t>3. Проводятся планово-предупредительные ремонты электросетевого оборудования;</t>
  </si>
  <si>
    <t xml:space="preserve">4.1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 </t>
  </si>
  <si>
    <t>N                        (текущий год)</t>
  </si>
  <si>
    <t>№</t>
  </si>
  <si>
    <t>1.1</t>
  </si>
  <si>
    <t>1.2</t>
  </si>
  <si>
    <t>1.3</t>
  </si>
  <si>
    <t>1.4</t>
  </si>
  <si>
    <t>1.5</t>
  </si>
  <si>
    <t>1.6</t>
  </si>
  <si>
    <t>2</t>
  </si>
  <si>
    <t>2.1</t>
  </si>
  <si>
    <t>2.1.1</t>
  </si>
  <si>
    <t>2.1.2</t>
  </si>
  <si>
    <t>2.2</t>
  </si>
  <si>
    <t>2.3</t>
  </si>
  <si>
    <t>2.4</t>
  </si>
  <si>
    <t>2.5</t>
  </si>
  <si>
    <t>2.6</t>
  </si>
  <si>
    <t>Заявка на оказание услуг:</t>
  </si>
  <si>
    <t>3</t>
  </si>
  <si>
    <t>3.1</t>
  </si>
  <si>
    <t>3.2</t>
  </si>
  <si>
    <t>3.3</t>
  </si>
  <si>
    <t>3.4</t>
  </si>
  <si>
    <t xml:space="preserve"> -</t>
  </si>
  <si>
    <t>1</t>
  </si>
  <si>
    <t>4</t>
  </si>
  <si>
    <t>Центр обслуживания</t>
  </si>
  <si>
    <t>г. Омск, ул. 36-я Северная, 5</t>
  </si>
  <si>
    <t>68-15-59</t>
  </si>
  <si>
    <t>68-15-59; katcman64@mail.ru</t>
  </si>
  <si>
    <t>4.3 Информация о заочном обслуживании потребителей по средством телефонной связи</t>
  </si>
  <si>
    <t>Перечень номеров телефонов, выделенных для обслуживания потребителей: Номер телефона по вопросам энергоснабжения: Номера телефонов центров обработки телефонных вызовов:</t>
  </si>
  <si>
    <t>Общее число телефонных вызовов от потребителей по выделенным номерам телефонов.</t>
  </si>
  <si>
    <t>мин</t>
  </si>
  <si>
    <t>4.4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 пунктом 4.1 Информации о качестве обслуживания потребителей услуг.</t>
  </si>
  <si>
    <t>* - Обращений потребителей не поступало</t>
  </si>
  <si>
    <t xml:space="preserve">4.5 Описание дополнительных услуг, оказываемых потребителю, в Единых стандартах качества обслуживания сетевыми организациями потребителей сетевых организаций
</t>
  </si>
  <si>
    <t xml:space="preserve">4.6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№ 5-ФЗ "О ветеранах" 
</t>
  </si>
  <si>
    <t>1. В случае обращения заявителя, относящегося к социально уязвимой категории граждан, он обслуживается без очереди.</t>
  </si>
  <si>
    <t xml:space="preserve">4.7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
</t>
  </si>
  <si>
    <t>1. На официальном сайте объявлен опрос заявителей на предмет удовлетворенностью работы "Центра обслуживания клиентов", опрос результатов не дал.</t>
  </si>
  <si>
    <t xml:space="preserve">4.8 Мероприятия, выполняемые сетевой организацией в целях повышения качества обслуживания потребителей.
</t>
  </si>
  <si>
    <t>1. Поощрение дружилюбия и коммуникабельности сотрудников ЦОК при работе с заявителем</t>
  </si>
  <si>
    <t>2. Возможность обрабатывать обращения потребителей в интерактивном режиме, что заметно сокращает время обработки заявки и направления ответа.</t>
  </si>
  <si>
    <t>4.9 Информация по обращениям потребителей.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</si>
  <si>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</si>
  <si>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</si>
  <si>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</si>
  <si>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</si>
  <si>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Очное</t>
  </si>
  <si>
    <t>Заочное, по телефону</t>
  </si>
  <si>
    <t>Заочное, через Интернет</t>
  </si>
  <si>
    <t>Письменное, по почте</t>
  </si>
  <si>
    <t>Обращения</t>
  </si>
  <si>
    <t>Оказание услуг по передаче э/э</t>
  </si>
  <si>
    <t>Осуществление тех. присоединения</t>
  </si>
  <si>
    <t>Коммерческий учет э/э</t>
  </si>
  <si>
    <t>Качество обслуживания потребителей</t>
  </si>
  <si>
    <t>Тех. обслуживание сетей</t>
  </si>
  <si>
    <t>Обращения, содержащие жалобу</t>
  </si>
  <si>
    <t>Качество оказания услуг по передаче э/э</t>
  </si>
  <si>
    <t>Качество э/э</t>
  </si>
  <si>
    <t>Качество услуг по тех. присоединению</t>
  </si>
  <si>
    <t>Обращения, содержащие заявку на оказание услуг</t>
  </si>
  <si>
    <t>По тех. присоединению</t>
  </si>
  <si>
    <t>Заключение договора оказания услуг по передаче э/э</t>
  </si>
  <si>
    <t>Организация коммерческого учета</t>
  </si>
  <si>
    <t>Факт получения потребителем ответа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</si>
  <si>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</si>
  <si>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</si>
  <si>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</si>
  <si>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Мероприятия по результатам обращений</t>
  </si>
  <si>
    <t>Выполненные мероприятия по результатам обращению</t>
  </si>
  <si>
    <t>Планируемые мероприятия по результатам обращению</t>
  </si>
  <si>
    <t>9:00 - 16:40</t>
  </si>
  <si>
    <t>очный</t>
  </si>
  <si>
    <t>заочный</t>
  </si>
  <si>
    <t>http://katsman-omsk.ru/centr-obsluzhivaniya-klientov/</t>
  </si>
  <si>
    <t>1.1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отчетному, заполняется в произвольной форме.</t>
  </si>
  <si>
    <t xml:space="preserve">ЮЛ </t>
  </si>
  <si>
    <t>Тип потребителя</t>
  </si>
  <si>
    <t>7</t>
  </si>
  <si>
    <t>8</t>
  </si>
  <si>
    <t>9</t>
  </si>
  <si>
    <t>10</t>
  </si>
  <si>
    <t>ФЛ (население)</t>
  </si>
  <si>
    <t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отчетному, заполняется в произвольной форме.</t>
  </si>
  <si>
    <t>К-во точек поставки, всего</t>
  </si>
  <si>
    <t>К-во точек поставки, оборудованных ПУ</t>
  </si>
  <si>
    <t>ОДПУ в мжд</t>
  </si>
  <si>
    <t>безхоз</t>
  </si>
  <si>
    <t>АСКУЭ</t>
  </si>
  <si>
    <t>1. Общая информация о сетевой организации ИП Кацман В.В.</t>
  </si>
  <si>
    <t>1.3.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 кВ, 35 кВ, 6(10) кВ в динамике относительно года, предшествующего отчетному, заполняется в произвольной форме.</t>
  </si>
  <si>
    <t>ФЛ (население чжд)</t>
  </si>
  <si>
    <t>К-во ТП</t>
  </si>
  <si>
    <t>Протяженность ВЛ</t>
  </si>
  <si>
    <t>Протяженность КЛ</t>
  </si>
  <si>
    <t xml:space="preserve"> -0,4кВ</t>
  </si>
  <si>
    <t xml:space="preserve"> -6, 10кВ</t>
  </si>
  <si>
    <t>1.4.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отчетному, заполняется в произвольной форме и выражается в процентах по отношению к нормативному сроку службы объектов.</t>
  </si>
  <si>
    <t>Уровень физического износа</t>
  </si>
  <si>
    <t>Тип оборудования</t>
  </si>
  <si>
    <t>Показатель средней частоты прекращений передачи электрической энергии (                 )</t>
  </si>
  <si>
    <t>Показатель средней продолжительности прекращений передачи электрической энергии (                      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</si>
  <si>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                              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</si>
  <si>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                                )</t>
  </si>
  <si>
    <t>2. Информация о качестве услуг по передаче электрической энергии по сетям сетевой организации ИП Кацман В.В.</t>
  </si>
  <si>
    <t xml:space="preserve">4. Качество обслуживания </t>
  </si>
  <si>
    <t>0,6</t>
  </si>
  <si>
    <t>ТП</t>
  </si>
  <si>
    <t>КЛ/ВЛ</t>
  </si>
  <si>
    <t>300 - городская местность</t>
  </si>
  <si>
    <t>500 - сельская местность</t>
  </si>
  <si>
    <t>ЮЛ, ИП</t>
  </si>
  <si>
    <t>ЮЛ, ИП, ФЛ-льготники (СНТ, ГСК, церкви, объединения гаражей, сараев и т.д.)</t>
  </si>
  <si>
    <t>Выполненный расчет является ориентировочным, итоговый расчет будет произведен после подачи Вами заявки на ТП при подготовке договора об осуществлении технологического присоединения.</t>
  </si>
  <si>
    <t>не фиксируется</t>
  </si>
  <si>
    <t xml:space="preserve"> +</t>
  </si>
  <si>
    <t xml:space="preserve">  +</t>
  </si>
  <si>
    <t>ИП Кацман В.В.</t>
  </si>
  <si>
    <t>2016 год (факт)</t>
  </si>
  <si>
    <t>359</t>
  </si>
  <si>
    <t>302</t>
  </si>
  <si>
    <t>152</t>
  </si>
  <si>
    <t>178</t>
  </si>
  <si>
    <t>к/2016/6-зтп</t>
  </si>
  <si>
    <t>к/2016/7-зтп</t>
  </si>
  <si>
    <t>к/2016/8-зтп</t>
  </si>
  <si>
    <t>к/2016/9-зтп</t>
  </si>
  <si>
    <t>к/2016/10-зтп</t>
  </si>
  <si>
    <t>к/2016/11-зтп</t>
  </si>
  <si>
    <t>к/2016/12-зтп</t>
  </si>
  <si>
    <t>к/2016/13-зтп</t>
  </si>
  <si>
    <t>к/2016/14-зтп</t>
  </si>
  <si>
    <t>59%</t>
  </si>
  <si>
    <t>41%</t>
  </si>
  <si>
    <t>11</t>
  </si>
  <si>
    <t>12</t>
  </si>
  <si>
    <t>13</t>
  </si>
  <si>
    <t>14</t>
  </si>
  <si>
    <t>2017, 2018 гг. (прогноз)</t>
  </si>
  <si>
    <t>5</t>
  </si>
  <si>
    <t>0,8</t>
  </si>
  <si>
    <t>53,889</t>
  </si>
  <si>
    <t>62%</t>
  </si>
  <si>
    <t>38%</t>
  </si>
  <si>
    <t>1. Стоимость услуг тех. присоединения к сетям ИП Кацман В.В. определяется согласно стандартизированным тарифным ставкам, установленными в редакции приказа РЭК Омской области №664/74 от 27.12.2016г. Расчет окончательной стоимости определяется по формулам, указанным в Приложении №4 настоящего приказа</t>
  </si>
  <si>
    <t>46,922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</si>
</sst>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justify"/>
    </xf>
    <xf numFmtId="0" fontId="3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textRotation="180" wrapText="1"/>
    </xf>
    <xf numFmtId="2" fontId="1" fillId="0" borderId="0" xfId="0" applyNumberFormat="1" applyFont="1" applyAlignment="1">
      <alignment horizontal="center" vertical="center" textRotation="18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16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0" fontId="1" fillId="3" borderId="0" xfId="0" applyFont="1" applyFill="1"/>
    <xf numFmtId="0" fontId="1" fillId="3" borderId="0" xfId="0" applyNumberFormat="1" applyFont="1" applyFill="1" applyAlignment="1">
      <alignment vertical="center" wrapText="1"/>
    </xf>
    <xf numFmtId="0" fontId="1" fillId="3" borderId="0" xfId="0" applyFont="1" applyFill="1" applyAlignment="1">
      <alignment horizontal="left" vertical="center"/>
    </xf>
    <xf numFmtId="49" fontId="1" fillId="3" borderId="10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wrapText="1"/>
    </xf>
    <xf numFmtId="49" fontId="1" fillId="3" borderId="4" xfId="0" applyNumberFormat="1" applyFont="1" applyFill="1" applyBorder="1" applyAlignment="1">
      <alignment horizontal="center" wrapText="1"/>
    </xf>
    <xf numFmtId="49" fontId="1" fillId="3" borderId="10" xfId="0" applyNumberFormat="1" applyFont="1" applyFill="1" applyBorder="1" applyAlignment="1">
      <alignment horizontal="center" wrapText="1"/>
    </xf>
    <xf numFmtId="49" fontId="1" fillId="3" borderId="11" xfId="0" applyNumberFormat="1" applyFont="1" applyFill="1" applyBorder="1" applyAlignment="1">
      <alignment horizontal="center" wrapText="1"/>
    </xf>
    <xf numFmtId="49" fontId="1" fillId="3" borderId="1" xfId="0" applyNumberFormat="1" applyFont="1" applyFill="1" applyBorder="1"/>
    <xf numFmtId="49" fontId="1" fillId="3" borderId="4" xfId="0" applyNumberFormat="1" applyFont="1" applyFill="1" applyBorder="1" applyAlignment="1">
      <alignment horizontal="center"/>
    </xf>
    <xf numFmtId="49" fontId="1" fillId="3" borderId="10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49" fontId="1" fillId="3" borderId="12" xfId="0" applyNumberFormat="1" applyFont="1" applyFill="1" applyBorder="1" applyAlignment="1">
      <alignment horizontal="center"/>
    </xf>
    <xf numFmtId="49" fontId="1" fillId="3" borderId="13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49" fontId="8" fillId="3" borderId="0" xfId="0" applyNumberFormat="1" applyFont="1" applyFill="1"/>
    <xf numFmtId="49" fontId="1" fillId="3" borderId="0" xfId="0" applyNumberFormat="1" applyFont="1" applyFill="1"/>
    <xf numFmtId="0" fontId="1" fillId="3" borderId="0" xfId="0" applyFont="1" applyFill="1" applyAlignment="1">
      <alignment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3" borderId="9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wrapText="1"/>
    </xf>
    <xf numFmtId="49" fontId="1" fillId="3" borderId="4" xfId="0" applyNumberFormat="1" applyFont="1" applyFill="1" applyBorder="1"/>
    <xf numFmtId="1" fontId="1" fillId="3" borderId="10" xfId="0" applyNumberFormat="1" applyFont="1" applyFill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horizontal="center"/>
    </xf>
    <xf numFmtId="49" fontId="1" fillId="3" borderId="14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3" borderId="19" xfId="0" applyNumberFormat="1" applyFont="1" applyFill="1" applyBorder="1" applyAlignment="1">
      <alignment horizontal="center"/>
    </xf>
    <xf numFmtId="0" fontId="1" fillId="3" borderId="12" xfId="0" applyFont="1" applyFill="1" applyBorder="1"/>
    <xf numFmtId="0" fontId="1" fillId="3" borderId="13" xfId="0" applyFont="1" applyFill="1" applyBorder="1"/>
    <xf numFmtId="9" fontId="1" fillId="3" borderId="13" xfId="0" applyNumberFormat="1" applyFont="1" applyFill="1" applyBorder="1" applyAlignment="1">
      <alignment horizontal="center" vertical="center"/>
    </xf>
    <xf numFmtId="9" fontId="1" fillId="3" borderId="14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top" wrapText="1"/>
    </xf>
    <xf numFmtId="16" fontId="2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top" wrapText="1"/>
    </xf>
    <xf numFmtId="0" fontId="2" fillId="3" borderId="0" xfId="0" applyFont="1" applyFill="1"/>
    <xf numFmtId="0" fontId="2" fillId="3" borderId="0" xfId="0" applyFont="1" applyFill="1" applyAlignment="1">
      <alignment horizontal="justify"/>
    </xf>
    <xf numFmtId="0" fontId="2" fillId="3" borderId="1" xfId="0" applyFont="1" applyFill="1" applyBorder="1" applyAlignment="1">
      <alignment vertical="top" wrapText="1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3" borderId="9" xfId="0" applyNumberFormat="1" applyFont="1" applyFill="1" applyBorder="1" applyAlignment="1">
      <alignment horizontal="center" vertical="center" wrapText="1"/>
    </xf>
    <xf numFmtId="49" fontId="1" fillId="3" borderId="10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/>
    </xf>
    <xf numFmtId="49" fontId="1" fillId="3" borderId="0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3" borderId="0" xfId="0" applyNumberFormat="1" applyFont="1" applyFill="1" applyAlignment="1">
      <alignment horizontal="left" vertical="center" wrapText="1"/>
    </xf>
    <xf numFmtId="0" fontId="3" fillId="3" borderId="0" xfId="0" applyFont="1" applyFill="1" applyAlignment="1">
      <alignment horizontal="left" wrapTex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49" fontId="1" fillId="3" borderId="16" xfId="0" applyNumberFormat="1" applyFont="1" applyFill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center" vertical="center" wrapText="1"/>
    </xf>
    <xf numFmtId="49" fontId="1" fillId="3" borderId="9" xfId="0" applyNumberFormat="1" applyFont="1" applyFill="1" applyBorder="1" applyAlignment="1">
      <alignment horizontal="center" vertical="center" wrapText="1"/>
    </xf>
    <xf numFmtId="49" fontId="1" fillId="3" borderId="10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justify" wrapText="1"/>
    </xf>
    <xf numFmtId="0" fontId="1" fillId="3" borderId="0" xfId="0" applyFont="1" applyFill="1" applyAlignment="1">
      <alignment wrapText="1"/>
    </xf>
    <xf numFmtId="0" fontId="2" fillId="3" borderId="1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left" wrapText="1"/>
    </xf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0" fillId="0" borderId="20" xfId="0" applyBorder="1"/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" fontId="1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" fontId="5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1488141</xdr:colOff>
      <xdr:row>6</xdr:row>
      <xdr:rowOff>146237</xdr:rowOff>
    </xdr:from>
    <xdr:to>
      <xdr:col>1</xdr:col>
      <xdr:colOff>1897716</xdr:colOff>
      <xdr:row>7</xdr:row>
      <xdr:rowOff>50987</xdr:rowOff>
    </xdr:to>
    <xdr:pic>
      <xdr:nvPicPr>
        <xdr:cNvPr id="1032" name="Picture 8">
          <a:extLst>
            <a:ext uri="{FF2B5EF4-FFF2-40B4-BE49-F238E27FC236}">
              <a16:creationId xmlns="" xmlns:a16="http://schemas.microsoft.com/office/drawing/2014/main" id="{00000000-0008-0000-01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6376" y="1558178"/>
          <a:ext cx="409575" cy="229721"/>
        </a:xfrm>
        <a:prstGeom prst="rect">
          <a:avLst/>
        </a:prstGeom>
        <a:noFill/>
      </xdr:spPr>
    </xdr:pic>
    <xdr:clientData/>
  </xdr:twoCellAnchor>
  <xdr:twoCellAnchor>
    <xdr:from>
      <xdr:col>1</xdr:col>
      <xdr:colOff>1443878</xdr:colOff>
      <xdr:row>12</xdr:row>
      <xdr:rowOff>165286</xdr:rowOff>
    </xdr:from>
    <xdr:to>
      <xdr:col>1</xdr:col>
      <xdr:colOff>1824878</xdr:colOff>
      <xdr:row>13</xdr:row>
      <xdr:rowOff>70036</xdr:rowOff>
    </xdr:to>
    <xdr:pic>
      <xdr:nvPicPr>
        <xdr:cNvPr id="1031" name="Picture 7">
          <a:extLst>
            <a:ext uri="{FF2B5EF4-FFF2-40B4-BE49-F238E27FC236}">
              <a16:creationId xmlns="" xmlns:a16="http://schemas.microsoft.com/office/drawing/2014/main" id="{00000000-0008-0000-01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92113" y="2854698"/>
          <a:ext cx="381000" cy="229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2223247</xdr:colOff>
      <xdr:row>18</xdr:row>
      <xdr:rowOff>620805</xdr:rowOff>
    </xdr:from>
    <xdr:to>
      <xdr:col>1</xdr:col>
      <xdr:colOff>3023347</xdr:colOff>
      <xdr:row>19</xdr:row>
      <xdr:rowOff>68355</xdr:rowOff>
    </xdr:to>
    <xdr:pic>
      <xdr:nvPicPr>
        <xdr:cNvPr id="1030" name="Picture 6">
          <a:extLst>
            <a:ext uri="{FF2B5EF4-FFF2-40B4-BE49-F238E27FC236}">
              <a16:creationId xmlns="" xmlns:a16="http://schemas.microsoft.com/office/drawing/2014/main" id="{00000000-0008-0000-01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71482" y="4587687"/>
          <a:ext cx="800100" cy="254374"/>
        </a:xfrm>
        <a:prstGeom prst="rect">
          <a:avLst/>
        </a:prstGeom>
        <a:noFill/>
      </xdr:spPr>
    </xdr:pic>
    <xdr:clientData/>
  </xdr:twoCellAnchor>
  <xdr:twoCellAnchor>
    <xdr:from>
      <xdr:col>1</xdr:col>
      <xdr:colOff>2391895</xdr:colOff>
      <xdr:row>24</xdr:row>
      <xdr:rowOff>622487</xdr:rowOff>
    </xdr:from>
    <xdr:to>
      <xdr:col>1</xdr:col>
      <xdr:colOff>2991970</xdr:colOff>
      <xdr:row>25</xdr:row>
      <xdr:rowOff>50987</xdr:rowOff>
    </xdr:to>
    <xdr:pic>
      <xdr:nvPicPr>
        <xdr:cNvPr id="1029" name="Picture 5">
          <a:extLst>
            <a:ext uri="{FF2B5EF4-FFF2-40B4-BE49-F238E27FC236}">
              <a16:creationId xmlns="" xmlns:a16="http://schemas.microsoft.com/office/drawing/2014/main" id="{00000000-0008-0000-01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40130" y="6348693"/>
          <a:ext cx="600075" cy="235323"/>
        </a:xfrm>
        <a:prstGeom prst="rect">
          <a:avLst/>
        </a:prstGeom>
        <a:noFill/>
      </xdr:spPr>
    </xdr:pic>
    <xdr:clientData/>
  </xdr:twoCellAnchor>
  <xdr:twoCellAnchor>
    <xdr:from>
      <xdr:col>2</xdr:col>
      <xdr:colOff>76200</xdr:colOff>
      <xdr:row>35</xdr:row>
      <xdr:rowOff>1257300</xdr:rowOff>
    </xdr:from>
    <xdr:to>
      <xdr:col>2</xdr:col>
      <xdr:colOff>485775</xdr:colOff>
      <xdr:row>35</xdr:row>
      <xdr:rowOff>1485900</xdr:rowOff>
    </xdr:to>
    <xdr:pic>
      <xdr:nvPicPr>
        <xdr:cNvPr id="6" name="Picture 12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14800" y="11658600"/>
          <a:ext cx="409575" cy="2286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35</xdr:row>
      <xdr:rowOff>1285875</xdr:rowOff>
    </xdr:from>
    <xdr:to>
      <xdr:col>6</xdr:col>
      <xdr:colOff>381000</xdr:colOff>
      <xdr:row>35</xdr:row>
      <xdr:rowOff>1514475</xdr:rowOff>
    </xdr:to>
    <xdr:pic>
      <xdr:nvPicPr>
        <xdr:cNvPr id="7" name="Picture 11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96150" y="11687175"/>
          <a:ext cx="381000" cy="22860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28575</xdr:colOff>
      <xdr:row>35</xdr:row>
      <xdr:rowOff>1371600</xdr:rowOff>
    </xdr:from>
    <xdr:to>
      <xdr:col>11</xdr:col>
      <xdr:colOff>19050</xdr:colOff>
      <xdr:row>35</xdr:row>
      <xdr:rowOff>1609725</xdr:rowOff>
    </xdr:to>
    <xdr:pic>
      <xdr:nvPicPr>
        <xdr:cNvPr id="8" name="Picture 10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763125" y="11772900"/>
          <a:ext cx="600075" cy="238125"/>
        </a:xfrm>
        <a:prstGeom prst="rect">
          <a:avLst/>
        </a:prstGeom>
        <a:noFill/>
      </xdr:spPr>
    </xdr:pic>
    <xdr:clientData/>
  </xdr:twoCellAnchor>
  <xdr:twoCellAnchor>
    <xdr:from>
      <xdr:col>14</xdr:col>
      <xdr:colOff>9525</xdr:colOff>
      <xdr:row>35</xdr:row>
      <xdr:rowOff>1400175</xdr:rowOff>
    </xdr:from>
    <xdr:to>
      <xdr:col>15</xdr:col>
      <xdr:colOff>0</xdr:colOff>
      <xdr:row>35</xdr:row>
      <xdr:rowOff>1638300</xdr:rowOff>
    </xdr:to>
    <xdr:pic>
      <xdr:nvPicPr>
        <xdr:cNvPr id="9" name="Picture 9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182475" y="11801475"/>
          <a:ext cx="600075" cy="238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4"/>
  <sheetViews>
    <sheetView tabSelected="1" view="pageBreakPreview" zoomScale="85" zoomScaleSheetLayoutView="85" workbookViewId="0">
      <selection activeCell="J30" sqref="J30"/>
    </sheetView>
  </sheetViews>
  <sheetFormatPr defaultRowHeight="15"/>
  <cols>
    <col min="1" max="1" width="19" style="62" customWidth="1"/>
    <col min="2" max="2" width="15.42578125" style="62" customWidth="1"/>
    <col min="3" max="3" width="12.140625" style="62" customWidth="1"/>
    <col min="4" max="4" width="13.85546875" style="62" customWidth="1"/>
    <col min="5" max="5" width="13.28515625" style="43" customWidth="1"/>
    <col min="6" max="6" width="13.85546875" style="43" customWidth="1"/>
    <col min="7" max="7" width="13.140625" style="43" customWidth="1"/>
    <col min="8" max="8" width="11.7109375" style="43" customWidth="1"/>
    <col min="9" max="9" width="12.5703125" style="43" customWidth="1"/>
    <col min="10" max="10" width="12.85546875" style="43" customWidth="1"/>
    <col min="11" max="11" width="11.5703125" style="43" customWidth="1"/>
    <col min="12" max="12" width="12.5703125" style="43" customWidth="1"/>
    <col min="13" max="13" width="14.42578125" style="43" customWidth="1"/>
    <col min="14" max="14" width="11.5703125" style="43" customWidth="1"/>
    <col min="15" max="15" width="12.5703125" style="43" customWidth="1"/>
    <col min="16" max="16384" width="9.140625" style="43"/>
  </cols>
  <sheetData>
    <row r="1" spans="1:24" ht="15.75">
      <c r="A1" s="104" t="s">
        <v>226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</row>
    <row r="3" spans="1:24" s="45" customFormat="1" ht="45.75" customHeight="1" thickBot="1">
      <c r="A3" s="103" t="s">
        <v>212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44"/>
      <c r="P3" s="44"/>
      <c r="Q3" s="44"/>
      <c r="R3" s="44"/>
      <c r="S3" s="44"/>
      <c r="T3" s="44"/>
      <c r="U3" s="44"/>
      <c r="V3" s="44"/>
      <c r="W3" s="44"/>
      <c r="X3" s="44"/>
    </row>
    <row r="4" spans="1:24">
      <c r="A4" s="108" t="s">
        <v>214</v>
      </c>
      <c r="B4" s="109" t="s">
        <v>50</v>
      </c>
      <c r="C4" s="105" t="s">
        <v>255</v>
      </c>
      <c r="D4" s="106"/>
      <c r="E4" s="106"/>
      <c r="F4" s="107"/>
      <c r="G4" s="105" t="s">
        <v>275</v>
      </c>
      <c r="H4" s="106"/>
      <c r="I4" s="106"/>
      <c r="J4" s="107"/>
      <c r="K4" s="67"/>
      <c r="L4" s="67"/>
      <c r="M4" s="67"/>
      <c r="N4" s="67"/>
    </row>
    <row r="5" spans="1:24" s="33" customFormat="1">
      <c r="A5" s="108"/>
      <c r="B5" s="109"/>
      <c r="C5" s="46" t="s">
        <v>19</v>
      </c>
      <c r="D5" s="47" t="s">
        <v>20</v>
      </c>
      <c r="E5" s="48" t="s">
        <v>21</v>
      </c>
      <c r="F5" s="49" t="s">
        <v>22</v>
      </c>
      <c r="G5" s="46" t="s">
        <v>19</v>
      </c>
      <c r="H5" s="47" t="s">
        <v>20</v>
      </c>
      <c r="I5" s="48" t="s">
        <v>21</v>
      </c>
      <c r="J5" s="49" t="s">
        <v>22</v>
      </c>
      <c r="K5" s="67"/>
      <c r="L5" s="67"/>
      <c r="M5" s="67"/>
      <c r="N5" s="67"/>
    </row>
    <row r="6" spans="1:24" s="33" customFormat="1">
      <c r="A6" s="50" t="s">
        <v>158</v>
      </c>
      <c r="B6" s="51" t="s">
        <v>142</v>
      </c>
      <c r="C6" s="52" t="s">
        <v>215</v>
      </c>
      <c r="D6" s="50" t="s">
        <v>216</v>
      </c>
      <c r="E6" s="50" t="s">
        <v>217</v>
      </c>
      <c r="F6" s="53" t="s">
        <v>218</v>
      </c>
      <c r="G6" s="52" t="s">
        <v>271</v>
      </c>
      <c r="H6" s="50" t="s">
        <v>272</v>
      </c>
      <c r="I6" s="50" t="s">
        <v>273</v>
      </c>
      <c r="J6" s="53" t="s">
        <v>274</v>
      </c>
      <c r="K6" s="67"/>
      <c r="L6" s="67"/>
      <c r="M6" s="67"/>
      <c r="N6" s="67"/>
    </row>
    <row r="7" spans="1:24">
      <c r="A7" s="54" t="s">
        <v>213</v>
      </c>
      <c r="B7" s="55" t="s">
        <v>52</v>
      </c>
      <c r="C7" s="56" t="s">
        <v>157</v>
      </c>
      <c r="D7" s="57" t="s">
        <v>157</v>
      </c>
      <c r="E7" s="48">
        <v>49</v>
      </c>
      <c r="F7" s="49">
        <v>43</v>
      </c>
      <c r="G7" s="95" t="s">
        <v>157</v>
      </c>
      <c r="H7" s="96" t="s">
        <v>157</v>
      </c>
      <c r="I7" s="48">
        <v>96</v>
      </c>
      <c r="J7" s="49">
        <v>84</v>
      </c>
      <c r="K7" s="67"/>
      <c r="L7" s="67"/>
      <c r="M7" s="67"/>
      <c r="N7" s="67"/>
    </row>
    <row r="8" spans="1:24" ht="15.75" thickBot="1">
      <c r="A8" s="54" t="s">
        <v>219</v>
      </c>
      <c r="B8" s="55" t="s">
        <v>52</v>
      </c>
      <c r="C8" s="58" t="s">
        <v>157</v>
      </c>
      <c r="D8" s="59" t="s">
        <v>157</v>
      </c>
      <c r="E8" s="59" t="s">
        <v>157</v>
      </c>
      <c r="F8" s="60">
        <v>794</v>
      </c>
      <c r="G8" s="58" t="s">
        <v>157</v>
      </c>
      <c r="H8" s="59" t="s">
        <v>157</v>
      </c>
      <c r="I8" s="59" t="s">
        <v>157</v>
      </c>
      <c r="J8" s="60">
        <v>1556</v>
      </c>
      <c r="K8" s="67"/>
      <c r="L8" s="67"/>
      <c r="M8" s="67"/>
      <c r="N8" s="67"/>
    </row>
    <row r="9" spans="1:24">
      <c r="A9" s="61"/>
    </row>
    <row r="10" spans="1:24">
      <c r="A10" s="61"/>
    </row>
    <row r="11" spans="1:24" s="63" customFormat="1" ht="60" customHeight="1" thickBot="1">
      <c r="A11" s="103" t="s">
        <v>220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</row>
    <row r="12" spans="1:24" s="67" customFormat="1" ht="60">
      <c r="A12" s="110" t="s">
        <v>214</v>
      </c>
      <c r="B12" s="64" t="s">
        <v>221</v>
      </c>
      <c r="C12" s="65" t="s">
        <v>222</v>
      </c>
      <c r="D12" s="93" t="s">
        <v>221</v>
      </c>
      <c r="E12" s="94" t="s">
        <v>222</v>
      </c>
      <c r="F12" s="66"/>
      <c r="G12" s="66"/>
      <c r="H12" s="66"/>
      <c r="I12" s="66"/>
      <c r="J12" s="66"/>
    </row>
    <row r="13" spans="1:24" s="67" customFormat="1" ht="15" customHeight="1">
      <c r="A13" s="111"/>
      <c r="B13" s="112" t="s">
        <v>255</v>
      </c>
      <c r="C13" s="113"/>
      <c r="D13" s="112" t="s">
        <v>275</v>
      </c>
      <c r="E13" s="113"/>
      <c r="F13" s="66"/>
      <c r="G13" s="66"/>
      <c r="H13" s="66"/>
      <c r="I13" s="66"/>
      <c r="J13" s="66"/>
    </row>
    <row r="14" spans="1:24" s="67" customFormat="1">
      <c r="A14" s="51" t="s">
        <v>158</v>
      </c>
      <c r="B14" s="52" t="s">
        <v>142</v>
      </c>
      <c r="C14" s="53" t="s">
        <v>152</v>
      </c>
      <c r="D14" s="52" t="s">
        <v>159</v>
      </c>
      <c r="E14" s="53" t="s">
        <v>276</v>
      </c>
      <c r="F14" s="66"/>
      <c r="G14" s="66"/>
      <c r="H14" s="66"/>
      <c r="I14" s="66"/>
      <c r="J14" s="66"/>
    </row>
    <row r="15" spans="1:24">
      <c r="A15" s="68" t="s">
        <v>213</v>
      </c>
      <c r="B15" s="69" t="s">
        <v>259</v>
      </c>
      <c r="C15" s="70" t="s">
        <v>259</v>
      </c>
      <c r="D15" s="101">
        <v>325</v>
      </c>
      <c r="E15" s="102">
        <v>325</v>
      </c>
    </row>
    <row r="16" spans="1:24">
      <c r="A16" s="68" t="s">
        <v>228</v>
      </c>
      <c r="B16" s="69" t="s">
        <v>256</v>
      </c>
      <c r="C16" s="70" t="s">
        <v>257</v>
      </c>
      <c r="D16" s="101">
        <v>656</v>
      </c>
      <c r="E16" s="102">
        <v>656</v>
      </c>
    </row>
    <row r="17" spans="1:14">
      <c r="A17" s="68" t="s">
        <v>223</v>
      </c>
      <c r="B17" s="69" t="s">
        <v>258</v>
      </c>
      <c r="C17" s="70">
        <v>152</v>
      </c>
      <c r="D17" s="101">
        <v>278</v>
      </c>
      <c r="E17" s="70">
        <v>278</v>
      </c>
    </row>
    <row r="18" spans="1:14">
      <c r="A18" s="68" t="s">
        <v>224</v>
      </c>
      <c r="B18" s="56" t="s">
        <v>157</v>
      </c>
      <c r="C18" s="71" t="s">
        <v>157</v>
      </c>
      <c r="D18" s="95" t="s">
        <v>157</v>
      </c>
      <c r="E18" s="97" t="s">
        <v>157</v>
      </c>
    </row>
    <row r="19" spans="1:14" ht="15.75" thickBot="1">
      <c r="A19" s="68" t="s">
        <v>225</v>
      </c>
      <c r="B19" s="58" t="s">
        <v>157</v>
      </c>
      <c r="C19" s="72" t="s">
        <v>157</v>
      </c>
      <c r="D19" s="58" t="s">
        <v>157</v>
      </c>
      <c r="E19" s="72" t="s">
        <v>157</v>
      </c>
    </row>
    <row r="20" spans="1:14">
      <c r="A20" s="61"/>
    </row>
    <row r="22" spans="1:14" ht="39.75" customHeight="1" thickBot="1">
      <c r="A22" s="103" t="s">
        <v>227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</row>
    <row r="23" spans="1:14" s="66" customFormat="1" ht="15" customHeight="1">
      <c r="A23" s="120" t="s">
        <v>229</v>
      </c>
      <c r="B23" s="115" t="s">
        <v>230</v>
      </c>
      <c r="C23" s="115"/>
      <c r="D23" s="115" t="s">
        <v>231</v>
      </c>
      <c r="E23" s="116"/>
      <c r="F23" s="120" t="s">
        <v>229</v>
      </c>
      <c r="G23" s="115" t="s">
        <v>230</v>
      </c>
      <c r="H23" s="115"/>
      <c r="I23" s="115" t="s">
        <v>231</v>
      </c>
      <c r="J23" s="116"/>
    </row>
    <row r="24" spans="1:14">
      <c r="A24" s="121"/>
      <c r="B24" s="57" t="s">
        <v>233</v>
      </c>
      <c r="C24" s="57" t="s">
        <v>232</v>
      </c>
      <c r="D24" s="57" t="s">
        <v>233</v>
      </c>
      <c r="E24" s="71" t="s">
        <v>232</v>
      </c>
      <c r="F24" s="121"/>
      <c r="G24" s="96" t="s">
        <v>233</v>
      </c>
      <c r="H24" s="96" t="s">
        <v>232</v>
      </c>
      <c r="I24" s="96" t="s">
        <v>233</v>
      </c>
      <c r="J24" s="97" t="s">
        <v>232</v>
      </c>
    </row>
    <row r="25" spans="1:14">
      <c r="A25" s="117" t="s">
        <v>255</v>
      </c>
      <c r="B25" s="118"/>
      <c r="C25" s="118"/>
      <c r="D25" s="118"/>
      <c r="E25" s="119"/>
      <c r="F25" s="117" t="s">
        <v>275</v>
      </c>
      <c r="G25" s="118"/>
      <c r="H25" s="118"/>
      <c r="I25" s="118"/>
      <c r="J25" s="119"/>
    </row>
    <row r="26" spans="1:14" s="33" customFormat="1" ht="15.75" thickBot="1">
      <c r="A26" s="73">
        <v>30</v>
      </c>
      <c r="B26" s="59" t="s">
        <v>157</v>
      </c>
      <c r="C26" s="59" t="s">
        <v>243</v>
      </c>
      <c r="D26" s="59" t="s">
        <v>282</v>
      </c>
      <c r="E26" s="74">
        <v>14.058</v>
      </c>
      <c r="F26" s="73">
        <v>45</v>
      </c>
      <c r="G26" s="59" t="s">
        <v>157</v>
      </c>
      <c r="H26" s="59" t="s">
        <v>277</v>
      </c>
      <c r="I26" s="59" t="s">
        <v>278</v>
      </c>
      <c r="J26" s="74">
        <v>25.675000000000001</v>
      </c>
      <c r="K26" s="43"/>
      <c r="L26" s="43"/>
      <c r="M26" s="43"/>
      <c r="N26" s="43"/>
    </row>
    <row r="27" spans="1:14" s="33" customFormat="1">
      <c r="A27" s="61"/>
      <c r="B27" s="100"/>
      <c r="C27" s="100"/>
      <c r="D27" s="100"/>
      <c r="E27" s="99"/>
      <c r="I27" s="43"/>
      <c r="J27" s="43"/>
      <c r="K27" s="43"/>
      <c r="L27" s="43"/>
      <c r="M27" s="43"/>
      <c r="N27" s="43"/>
    </row>
    <row r="29" spans="1:14" ht="35.25" customHeight="1" thickBot="1">
      <c r="A29" s="103" t="s">
        <v>234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</row>
    <row r="30" spans="1:14" s="67" customFormat="1" ht="15" customHeight="1">
      <c r="A30" s="109" t="s">
        <v>236</v>
      </c>
      <c r="B30" s="114" t="s">
        <v>235</v>
      </c>
      <c r="C30" s="115"/>
      <c r="D30" s="115"/>
      <c r="E30" s="116"/>
      <c r="F30" s="114" t="s">
        <v>235</v>
      </c>
      <c r="G30" s="115"/>
      <c r="H30" s="115"/>
      <c r="I30" s="116"/>
    </row>
    <row r="31" spans="1:14" s="33" customFormat="1">
      <c r="A31" s="109"/>
      <c r="B31" s="56" t="s">
        <v>19</v>
      </c>
      <c r="C31" s="57" t="s">
        <v>20</v>
      </c>
      <c r="D31" s="57" t="s">
        <v>21</v>
      </c>
      <c r="E31" s="75" t="s">
        <v>22</v>
      </c>
      <c r="F31" s="95" t="s">
        <v>19</v>
      </c>
      <c r="G31" s="96" t="s">
        <v>20</v>
      </c>
      <c r="H31" s="96" t="s">
        <v>21</v>
      </c>
      <c r="I31" s="75" t="s">
        <v>22</v>
      </c>
    </row>
    <row r="32" spans="1:14">
      <c r="A32" s="109"/>
      <c r="B32" s="117" t="s">
        <v>255</v>
      </c>
      <c r="C32" s="118"/>
      <c r="D32" s="118"/>
      <c r="E32" s="119"/>
      <c r="F32" s="117" t="s">
        <v>275</v>
      </c>
      <c r="G32" s="118"/>
      <c r="H32" s="118"/>
      <c r="I32" s="119"/>
    </row>
    <row r="33" spans="1:9">
      <c r="A33" s="76" t="s">
        <v>244</v>
      </c>
      <c r="B33" s="77"/>
      <c r="C33" s="78"/>
      <c r="D33" s="78" t="s">
        <v>269</v>
      </c>
      <c r="E33" s="79" t="s">
        <v>270</v>
      </c>
      <c r="F33" s="77"/>
      <c r="G33" s="78"/>
      <c r="H33" s="78" t="s">
        <v>279</v>
      </c>
      <c r="I33" s="79" t="s">
        <v>280</v>
      </c>
    </row>
    <row r="34" spans="1:9" ht="15.75" thickBot="1">
      <c r="A34" s="55" t="s">
        <v>245</v>
      </c>
      <c r="B34" s="80"/>
      <c r="C34" s="81"/>
      <c r="D34" s="82">
        <v>0.55000000000000004</v>
      </c>
      <c r="E34" s="83">
        <v>0.45</v>
      </c>
      <c r="F34" s="80"/>
      <c r="G34" s="81"/>
      <c r="H34" s="82">
        <v>0.53</v>
      </c>
      <c r="I34" s="83">
        <v>0.47</v>
      </c>
    </row>
  </sheetData>
  <mergeCells count="25">
    <mergeCell ref="B30:E30"/>
    <mergeCell ref="B32:E32"/>
    <mergeCell ref="A30:A32"/>
    <mergeCell ref="A23:A24"/>
    <mergeCell ref="A25:E25"/>
    <mergeCell ref="B23:C23"/>
    <mergeCell ref="D23:E23"/>
    <mergeCell ref="A29:N29"/>
    <mergeCell ref="F23:F24"/>
    <mergeCell ref="G23:H23"/>
    <mergeCell ref="I23:J23"/>
    <mergeCell ref="F25:J25"/>
    <mergeCell ref="F30:I30"/>
    <mergeCell ref="F32:I32"/>
    <mergeCell ref="A22:N22"/>
    <mergeCell ref="A1:R1"/>
    <mergeCell ref="C4:F4"/>
    <mergeCell ref="A4:A5"/>
    <mergeCell ref="B4:B5"/>
    <mergeCell ref="A3:N3"/>
    <mergeCell ref="A11:N11"/>
    <mergeCell ref="A12:A13"/>
    <mergeCell ref="B13:C13"/>
    <mergeCell ref="G4:J4"/>
    <mergeCell ref="D13:E13"/>
  </mergeCells>
  <pageMargins left="0.7" right="0.7" top="0.75" bottom="0.75" header="0.3" footer="0.3"/>
  <pageSetup paperSize="9" scale="69" orientation="landscape" r:id="rId1"/>
  <colBreaks count="1" manualBreakCount="1">
    <brk id="14" max="1048575" man="1"/>
  </colBreaks>
  <ignoredErrors>
    <ignoredError sqref="A6:B6 C6:F6 A14 B34:C34 B14:C14 B26:D26 B33:C33 B16:C16 B17 B15:C15 D33:E33 E26 G6:J6 D14:E14 H26:I26 H33:I3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T47"/>
  <sheetViews>
    <sheetView view="pageBreakPreview" zoomScale="85" zoomScaleSheetLayoutView="85" workbookViewId="0">
      <selection activeCell="B15" sqref="B15"/>
    </sheetView>
  </sheetViews>
  <sheetFormatPr defaultRowHeight="15"/>
  <cols>
    <col min="1" max="1" width="6.7109375" style="43" customWidth="1"/>
    <col min="2" max="2" width="53.85546875" style="43" customWidth="1"/>
    <col min="3" max="3" width="12.28515625" style="43" customWidth="1"/>
    <col min="4" max="4" width="13.28515625" style="43" customWidth="1"/>
    <col min="5" max="5" width="14.140625" style="43" customWidth="1"/>
    <col min="6" max="18" width="9.140625" style="43"/>
    <col min="19" max="19" width="32.7109375" style="43" customWidth="1"/>
    <col min="20" max="20" width="34.42578125" style="43" customWidth="1"/>
    <col min="21" max="16384" width="9.140625" style="43"/>
  </cols>
  <sheetData>
    <row r="1" spans="1:13" ht="15.75">
      <c r="A1" s="104" t="s">
        <v>241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13" s="84" customFormat="1" ht="12.75">
      <c r="A2" s="127" t="s">
        <v>123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</row>
    <row r="4" spans="1:13">
      <c r="A4" s="124" t="s">
        <v>2</v>
      </c>
      <c r="B4" s="124" t="s">
        <v>0</v>
      </c>
      <c r="C4" s="124" t="s">
        <v>1</v>
      </c>
      <c r="D4" s="124"/>
      <c r="E4" s="124"/>
    </row>
    <row r="5" spans="1:13" ht="38.25">
      <c r="A5" s="124"/>
      <c r="B5" s="124"/>
      <c r="C5" s="85" t="s">
        <v>3</v>
      </c>
      <c r="D5" s="85" t="s">
        <v>4</v>
      </c>
      <c r="E5" s="85" t="s">
        <v>5</v>
      </c>
    </row>
    <row r="6" spans="1:13">
      <c r="A6" s="85">
        <v>1</v>
      </c>
      <c r="B6" s="85">
        <v>2</v>
      </c>
      <c r="C6" s="85">
        <v>3</v>
      </c>
      <c r="D6" s="85">
        <v>4</v>
      </c>
      <c r="E6" s="85">
        <v>5</v>
      </c>
    </row>
    <row r="7" spans="1:13" ht="25.5" customHeight="1">
      <c r="A7" s="124">
        <v>1</v>
      </c>
      <c r="B7" s="131" t="s">
        <v>238</v>
      </c>
      <c r="C7" s="128">
        <v>0.89749999999999996</v>
      </c>
      <c r="D7" s="128">
        <v>0.89749999999999996</v>
      </c>
      <c r="E7" s="133">
        <f>(C7-D7)*100/C7</f>
        <v>0</v>
      </c>
    </row>
    <row r="8" spans="1:13">
      <c r="A8" s="124"/>
      <c r="B8" s="131"/>
      <c r="C8" s="128"/>
      <c r="D8" s="128"/>
      <c r="E8" s="134"/>
    </row>
    <row r="9" spans="1:13">
      <c r="A9" s="86" t="s">
        <v>99</v>
      </c>
      <c r="B9" s="87" t="s">
        <v>6</v>
      </c>
      <c r="C9" s="88" t="s">
        <v>118</v>
      </c>
      <c r="D9" s="88" t="s">
        <v>118</v>
      </c>
      <c r="E9" s="88" t="s">
        <v>118</v>
      </c>
    </row>
    <row r="10" spans="1:13">
      <c r="A10" s="86" t="s">
        <v>100</v>
      </c>
      <c r="B10" s="87" t="s">
        <v>7</v>
      </c>
      <c r="C10" s="88" t="s">
        <v>118</v>
      </c>
      <c r="D10" s="88" t="s">
        <v>118</v>
      </c>
      <c r="E10" s="88" t="s">
        <v>118</v>
      </c>
    </row>
    <row r="11" spans="1:13">
      <c r="A11" s="86" t="s">
        <v>101</v>
      </c>
      <c r="B11" s="87" t="s">
        <v>8</v>
      </c>
      <c r="C11" s="88">
        <f>C7</f>
        <v>0.89749999999999996</v>
      </c>
      <c r="D11" s="88">
        <f>D7</f>
        <v>0.89749999999999996</v>
      </c>
      <c r="E11" s="132">
        <f>(C11-D11)*100/C11</f>
        <v>0</v>
      </c>
    </row>
    <row r="12" spans="1:13">
      <c r="A12" s="86" t="s">
        <v>102</v>
      </c>
      <c r="B12" s="87" t="s">
        <v>9</v>
      </c>
      <c r="C12" s="88">
        <f>C7</f>
        <v>0.89749999999999996</v>
      </c>
      <c r="D12" s="88">
        <f>D7</f>
        <v>0.89749999999999996</v>
      </c>
      <c r="E12" s="132"/>
    </row>
    <row r="13" spans="1:13" ht="25.5" customHeight="1">
      <c r="A13" s="124">
        <v>2</v>
      </c>
      <c r="B13" s="131" t="s">
        <v>237</v>
      </c>
      <c r="C13" s="128">
        <v>1.0529999999999999</v>
      </c>
      <c r="D13" s="128">
        <v>0.1242</v>
      </c>
      <c r="E13" s="129">
        <v>100</v>
      </c>
    </row>
    <row r="14" spans="1:13">
      <c r="A14" s="124"/>
      <c r="B14" s="131"/>
      <c r="C14" s="128"/>
      <c r="D14" s="128"/>
      <c r="E14" s="130"/>
    </row>
    <row r="15" spans="1:13">
      <c r="A15" s="86" t="s">
        <v>103</v>
      </c>
      <c r="B15" s="87" t="s">
        <v>6</v>
      </c>
      <c r="C15" s="88" t="s">
        <v>118</v>
      </c>
      <c r="D15" s="88" t="s">
        <v>118</v>
      </c>
      <c r="E15" s="88" t="s">
        <v>118</v>
      </c>
    </row>
    <row r="16" spans="1:13">
      <c r="A16" s="86" t="s">
        <v>104</v>
      </c>
      <c r="B16" s="87" t="s">
        <v>7</v>
      </c>
      <c r="C16" s="88" t="s">
        <v>118</v>
      </c>
      <c r="D16" s="88" t="s">
        <v>118</v>
      </c>
      <c r="E16" s="88" t="s">
        <v>118</v>
      </c>
    </row>
    <row r="17" spans="1:5">
      <c r="A17" s="86" t="s">
        <v>105</v>
      </c>
      <c r="B17" s="87" t="s">
        <v>8</v>
      </c>
      <c r="C17" s="88">
        <f>C13</f>
        <v>1.0529999999999999</v>
      </c>
      <c r="D17" s="88">
        <f>D13</f>
        <v>0.1242</v>
      </c>
      <c r="E17" s="88">
        <v>100</v>
      </c>
    </row>
    <row r="18" spans="1:5">
      <c r="A18" s="86" t="s">
        <v>106</v>
      </c>
      <c r="B18" s="87" t="s">
        <v>9</v>
      </c>
      <c r="C18" s="88">
        <f>C13</f>
        <v>1.0529999999999999</v>
      </c>
      <c r="D18" s="88">
        <f>D13</f>
        <v>0.1242</v>
      </c>
      <c r="E18" s="88">
        <v>100</v>
      </c>
    </row>
    <row r="19" spans="1:5" ht="63.75" customHeight="1">
      <c r="A19" s="124">
        <v>3</v>
      </c>
      <c r="B19" s="131" t="s">
        <v>239</v>
      </c>
      <c r="C19" s="128">
        <v>0.05</v>
      </c>
      <c r="D19" s="128">
        <v>0.57520000000000004</v>
      </c>
      <c r="E19" s="128">
        <v>100</v>
      </c>
    </row>
    <row r="20" spans="1:5">
      <c r="A20" s="124"/>
      <c r="B20" s="131"/>
      <c r="C20" s="128"/>
      <c r="D20" s="128"/>
      <c r="E20" s="128"/>
    </row>
    <row r="21" spans="1:5">
      <c r="A21" s="86" t="s">
        <v>107</v>
      </c>
      <c r="B21" s="87" t="s">
        <v>6</v>
      </c>
      <c r="C21" s="88" t="s">
        <v>118</v>
      </c>
      <c r="D21" s="88" t="s">
        <v>118</v>
      </c>
      <c r="E21" s="88" t="s">
        <v>118</v>
      </c>
    </row>
    <row r="22" spans="1:5">
      <c r="A22" s="86" t="s">
        <v>108</v>
      </c>
      <c r="B22" s="87" t="s">
        <v>7</v>
      </c>
      <c r="C22" s="88" t="s">
        <v>118</v>
      </c>
      <c r="D22" s="88" t="s">
        <v>118</v>
      </c>
      <c r="E22" s="88" t="s">
        <v>118</v>
      </c>
    </row>
    <row r="23" spans="1:5">
      <c r="A23" s="86" t="s">
        <v>109</v>
      </c>
      <c r="B23" s="87" t="s">
        <v>8</v>
      </c>
      <c r="C23" s="88">
        <f>C19</f>
        <v>0.05</v>
      </c>
      <c r="D23" s="88">
        <f>D19</f>
        <v>0.57520000000000004</v>
      </c>
      <c r="E23" s="88">
        <v>100</v>
      </c>
    </row>
    <row r="24" spans="1:5">
      <c r="A24" s="86" t="s">
        <v>110</v>
      </c>
      <c r="B24" s="87" t="s">
        <v>9</v>
      </c>
      <c r="C24" s="88">
        <f>C19</f>
        <v>0.05</v>
      </c>
      <c r="D24" s="88">
        <f>D19</f>
        <v>0.57520000000000004</v>
      </c>
      <c r="E24" s="88">
        <v>100</v>
      </c>
    </row>
    <row r="25" spans="1:5" ht="63.75" customHeight="1">
      <c r="A25" s="124">
        <v>4</v>
      </c>
      <c r="B25" s="131" t="s">
        <v>240</v>
      </c>
      <c r="C25" s="128">
        <v>0</v>
      </c>
      <c r="D25" s="128">
        <v>0</v>
      </c>
      <c r="E25" s="128">
        <v>0</v>
      </c>
    </row>
    <row r="26" spans="1:5">
      <c r="A26" s="124"/>
      <c r="B26" s="131"/>
      <c r="C26" s="128"/>
      <c r="D26" s="128"/>
      <c r="E26" s="128"/>
    </row>
    <row r="27" spans="1:5">
      <c r="A27" s="86" t="s">
        <v>111</v>
      </c>
      <c r="B27" s="87" t="s">
        <v>6</v>
      </c>
      <c r="C27" s="88" t="s">
        <v>118</v>
      </c>
      <c r="D27" s="88" t="s">
        <v>118</v>
      </c>
      <c r="E27" s="88" t="s">
        <v>118</v>
      </c>
    </row>
    <row r="28" spans="1:5">
      <c r="A28" s="86" t="s">
        <v>112</v>
      </c>
      <c r="B28" s="87" t="s">
        <v>7</v>
      </c>
      <c r="C28" s="88" t="s">
        <v>118</v>
      </c>
      <c r="D28" s="88" t="s">
        <v>118</v>
      </c>
      <c r="E28" s="88" t="s">
        <v>118</v>
      </c>
    </row>
    <row r="29" spans="1:5">
      <c r="A29" s="86" t="s">
        <v>113</v>
      </c>
      <c r="B29" s="87" t="s">
        <v>8</v>
      </c>
      <c r="C29" s="88" t="s">
        <v>118</v>
      </c>
      <c r="D29" s="88" t="s">
        <v>118</v>
      </c>
      <c r="E29" s="88" t="s">
        <v>118</v>
      </c>
    </row>
    <row r="30" spans="1:5">
      <c r="A30" s="86" t="s">
        <v>114</v>
      </c>
      <c r="B30" s="87" t="s">
        <v>9</v>
      </c>
      <c r="C30" s="88" t="s">
        <v>118</v>
      </c>
      <c r="D30" s="88" t="s">
        <v>118</v>
      </c>
      <c r="E30" s="88" t="s">
        <v>118</v>
      </c>
    </row>
    <row r="31" spans="1:5" ht="38.25">
      <c r="A31" s="85">
        <v>5</v>
      </c>
      <c r="B31" s="89" t="s">
        <v>10</v>
      </c>
      <c r="C31" s="88">
        <v>0</v>
      </c>
      <c r="D31" s="88">
        <v>0</v>
      </c>
      <c r="E31" s="88">
        <v>0</v>
      </c>
    </row>
    <row r="32" spans="1:5" ht="51">
      <c r="A32" s="86" t="s">
        <v>115</v>
      </c>
      <c r="B32" s="89" t="s">
        <v>11</v>
      </c>
      <c r="C32" s="88">
        <v>0</v>
      </c>
      <c r="D32" s="88">
        <v>0</v>
      </c>
      <c r="E32" s="88">
        <v>0</v>
      </c>
    </row>
    <row r="34" spans="1:20" s="90" customFormat="1" ht="12.75">
      <c r="A34" s="122" t="s">
        <v>121</v>
      </c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</row>
    <row r="35" spans="1:20">
      <c r="A35" s="91"/>
    </row>
    <row r="36" spans="1:20" ht="133.5" customHeight="1">
      <c r="A36" s="124" t="s">
        <v>2</v>
      </c>
      <c r="B36" s="124" t="s">
        <v>12</v>
      </c>
      <c r="C36" s="124" t="s">
        <v>13</v>
      </c>
      <c r="D36" s="124"/>
      <c r="E36" s="124"/>
      <c r="F36" s="124"/>
      <c r="G36" s="124" t="s">
        <v>14</v>
      </c>
      <c r="H36" s="124"/>
      <c r="I36" s="124"/>
      <c r="J36" s="124"/>
      <c r="K36" s="124" t="s">
        <v>15</v>
      </c>
      <c r="L36" s="124"/>
      <c r="M36" s="124"/>
      <c r="N36" s="124"/>
      <c r="O36" s="124" t="s">
        <v>16</v>
      </c>
      <c r="P36" s="124"/>
      <c r="Q36" s="124"/>
      <c r="R36" s="124"/>
      <c r="S36" s="124" t="s">
        <v>17</v>
      </c>
      <c r="T36" s="124" t="s">
        <v>18</v>
      </c>
    </row>
    <row r="37" spans="1:20" ht="33" customHeight="1">
      <c r="A37" s="124"/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</row>
    <row r="38" spans="1:20">
      <c r="A38" s="124"/>
      <c r="B38" s="124"/>
      <c r="C38" s="85" t="s">
        <v>19</v>
      </c>
      <c r="D38" s="85" t="s">
        <v>20</v>
      </c>
      <c r="E38" s="85" t="s">
        <v>21</v>
      </c>
      <c r="F38" s="85" t="s">
        <v>22</v>
      </c>
      <c r="G38" s="85" t="s">
        <v>19</v>
      </c>
      <c r="H38" s="85" t="s">
        <v>20</v>
      </c>
      <c r="I38" s="85" t="s">
        <v>21</v>
      </c>
      <c r="J38" s="85" t="s">
        <v>22</v>
      </c>
      <c r="K38" s="85" t="s">
        <v>19</v>
      </c>
      <c r="L38" s="85" t="s">
        <v>20</v>
      </c>
      <c r="M38" s="85" t="s">
        <v>21</v>
      </c>
      <c r="N38" s="85" t="s">
        <v>22</v>
      </c>
      <c r="O38" s="85" t="s">
        <v>19</v>
      </c>
      <c r="P38" s="85" t="s">
        <v>20</v>
      </c>
      <c r="Q38" s="85" t="s">
        <v>21</v>
      </c>
      <c r="R38" s="85" t="s">
        <v>22</v>
      </c>
      <c r="S38" s="124"/>
      <c r="T38" s="124"/>
    </row>
    <row r="39" spans="1:20" ht="12" customHeight="1">
      <c r="A39" s="85">
        <v>1</v>
      </c>
      <c r="B39" s="85">
        <v>2</v>
      </c>
      <c r="C39" s="85">
        <v>3</v>
      </c>
      <c r="D39" s="85">
        <v>4</v>
      </c>
      <c r="E39" s="85">
        <v>5</v>
      </c>
      <c r="F39" s="85">
        <v>6</v>
      </c>
      <c r="G39" s="85">
        <v>7</v>
      </c>
      <c r="H39" s="85">
        <v>8</v>
      </c>
      <c r="I39" s="85">
        <v>9</v>
      </c>
      <c r="J39" s="85">
        <v>10</v>
      </c>
      <c r="K39" s="85">
        <v>11</v>
      </c>
      <c r="L39" s="85">
        <v>12</v>
      </c>
      <c r="M39" s="85">
        <v>13</v>
      </c>
      <c r="N39" s="85">
        <v>14</v>
      </c>
      <c r="O39" s="85">
        <v>15</v>
      </c>
      <c r="P39" s="85">
        <v>16</v>
      </c>
      <c r="Q39" s="85">
        <v>17</v>
      </c>
      <c r="R39" s="85">
        <v>18</v>
      </c>
      <c r="S39" s="85">
        <v>19</v>
      </c>
      <c r="T39" s="85">
        <v>20</v>
      </c>
    </row>
    <row r="40" spans="1:20">
      <c r="A40" s="85">
        <v>1</v>
      </c>
      <c r="B40" s="92" t="s">
        <v>254</v>
      </c>
      <c r="C40" s="85"/>
      <c r="D40" s="85"/>
      <c r="E40" s="85">
        <f>D7</f>
        <v>0.89749999999999996</v>
      </c>
      <c r="F40" s="85">
        <f>D12</f>
        <v>0.89749999999999996</v>
      </c>
      <c r="G40" s="85"/>
      <c r="H40" s="85"/>
      <c r="I40" s="85">
        <f>D17</f>
        <v>0.1242</v>
      </c>
      <c r="J40" s="85">
        <f>D18</f>
        <v>0.1242</v>
      </c>
      <c r="K40" s="85"/>
      <c r="L40" s="85"/>
      <c r="M40" s="85">
        <f>D23</f>
        <v>0.57520000000000004</v>
      </c>
      <c r="N40" s="85">
        <f>D24</f>
        <v>0.57520000000000004</v>
      </c>
      <c r="O40" s="85"/>
      <c r="P40" s="85"/>
      <c r="Q40" s="85">
        <v>0</v>
      </c>
      <c r="R40" s="85">
        <v>0</v>
      </c>
      <c r="S40" s="85">
        <v>0.89749999999999996</v>
      </c>
      <c r="T40" s="85"/>
    </row>
    <row r="41" spans="1:20">
      <c r="A41" s="85" t="s">
        <v>23</v>
      </c>
      <c r="B41" s="92" t="s">
        <v>24</v>
      </c>
      <c r="C41" s="88">
        <f>C40</f>
        <v>0</v>
      </c>
      <c r="D41" s="88">
        <f t="shared" ref="D41:T41" si="0">D40</f>
        <v>0</v>
      </c>
      <c r="E41" s="88">
        <f t="shared" si="0"/>
        <v>0.89749999999999996</v>
      </c>
      <c r="F41" s="88">
        <f t="shared" si="0"/>
        <v>0.89749999999999996</v>
      </c>
      <c r="G41" s="88">
        <f t="shared" si="0"/>
        <v>0</v>
      </c>
      <c r="H41" s="88">
        <f t="shared" si="0"/>
        <v>0</v>
      </c>
      <c r="I41" s="88">
        <f t="shared" si="0"/>
        <v>0.1242</v>
      </c>
      <c r="J41" s="88">
        <f t="shared" si="0"/>
        <v>0.1242</v>
      </c>
      <c r="K41" s="88">
        <f t="shared" si="0"/>
        <v>0</v>
      </c>
      <c r="L41" s="88">
        <f t="shared" si="0"/>
        <v>0</v>
      </c>
      <c r="M41" s="88">
        <f t="shared" si="0"/>
        <v>0.57520000000000004</v>
      </c>
      <c r="N41" s="88">
        <f t="shared" si="0"/>
        <v>0.57520000000000004</v>
      </c>
      <c r="O41" s="88">
        <f t="shared" si="0"/>
        <v>0</v>
      </c>
      <c r="P41" s="88">
        <f t="shared" si="0"/>
        <v>0</v>
      </c>
      <c r="Q41" s="88">
        <f t="shared" si="0"/>
        <v>0</v>
      </c>
      <c r="R41" s="88">
        <f t="shared" si="0"/>
        <v>0</v>
      </c>
      <c r="S41" s="88">
        <f t="shared" si="0"/>
        <v>0.89749999999999996</v>
      </c>
      <c r="T41" s="88">
        <f t="shared" si="0"/>
        <v>0</v>
      </c>
    </row>
    <row r="42" spans="1:20">
      <c r="A42" s="91"/>
    </row>
    <row r="43" spans="1:20">
      <c r="A43" s="122" t="s">
        <v>129</v>
      </c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</row>
    <row r="44" spans="1:20">
      <c r="A44" s="125" t="s">
        <v>130</v>
      </c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</row>
    <row r="45" spans="1:20">
      <c r="A45" s="125" t="s">
        <v>131</v>
      </c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</row>
    <row r="46" spans="1:20">
      <c r="A46" s="125" t="s">
        <v>132</v>
      </c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</row>
    <row r="47" spans="1:20">
      <c r="A47" s="122" t="s">
        <v>25</v>
      </c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</row>
  </sheetData>
  <mergeCells count="40">
    <mergeCell ref="B25:B26"/>
    <mergeCell ref="A1:M1"/>
    <mergeCell ref="A4:A5"/>
    <mergeCell ref="B4:B5"/>
    <mergeCell ref="C4:E4"/>
    <mergeCell ref="A7:A8"/>
    <mergeCell ref="C7:C8"/>
    <mergeCell ref="D7:D8"/>
    <mergeCell ref="B7:B8"/>
    <mergeCell ref="E11:E12"/>
    <mergeCell ref="E7:E8"/>
    <mergeCell ref="A34:T34"/>
    <mergeCell ref="A2:M2"/>
    <mergeCell ref="A25:A26"/>
    <mergeCell ref="C25:C26"/>
    <mergeCell ref="D25:D26"/>
    <mergeCell ref="E25:E26"/>
    <mergeCell ref="A13:A14"/>
    <mergeCell ref="C13:C14"/>
    <mergeCell ref="D13:D14"/>
    <mergeCell ref="E13:E14"/>
    <mergeCell ref="A19:A20"/>
    <mergeCell ref="C19:C20"/>
    <mergeCell ref="D19:D20"/>
    <mergeCell ref="E19:E20"/>
    <mergeCell ref="B13:B14"/>
    <mergeCell ref="B19:B20"/>
    <mergeCell ref="A43:T43"/>
    <mergeCell ref="A47:T47"/>
    <mergeCell ref="A36:A38"/>
    <mergeCell ref="B36:B38"/>
    <mergeCell ref="C36:F37"/>
    <mergeCell ref="G36:J37"/>
    <mergeCell ref="K36:N37"/>
    <mergeCell ref="O36:R37"/>
    <mergeCell ref="A44:T44"/>
    <mergeCell ref="A46:T46"/>
    <mergeCell ref="A45:T45"/>
    <mergeCell ref="S36:S38"/>
    <mergeCell ref="T36:T38"/>
  </mergeCells>
  <pageMargins left="0.7" right="0.7" top="0.75" bottom="0.75" header="0.3" footer="0.3"/>
  <pageSetup paperSize="9" scale="2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V54"/>
  <sheetViews>
    <sheetView view="pageBreakPreview" zoomScale="70" zoomScaleSheetLayoutView="70" workbookViewId="0">
      <selection activeCell="P35" sqref="P35"/>
    </sheetView>
  </sheetViews>
  <sheetFormatPr defaultRowHeight="15"/>
  <cols>
    <col min="1" max="1" width="5" style="1" customWidth="1"/>
    <col min="2" max="2" width="34.7109375" style="1" customWidth="1"/>
    <col min="3" max="4" width="9.140625" style="1"/>
    <col min="5" max="12" width="11.42578125" style="1" customWidth="1"/>
    <col min="13" max="13" width="9.140625" style="1"/>
    <col min="14" max="14" width="11.140625" style="1" customWidth="1"/>
    <col min="15" max="16" width="9.140625" style="1"/>
    <col min="17" max="17" width="11" style="1" customWidth="1"/>
    <col min="18" max="16384" width="9.140625" style="1"/>
  </cols>
  <sheetData>
    <row r="1" spans="1:22" s="3" customFormat="1" ht="15.75">
      <c r="A1" s="147" t="s">
        <v>122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22">
      <c r="A2" s="148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22" ht="56.25" customHeight="1">
      <c r="A3" s="139" t="s">
        <v>124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1"/>
      <c r="O3" s="141"/>
      <c r="P3" s="141"/>
      <c r="Q3" s="141"/>
      <c r="R3" s="141"/>
    </row>
    <row r="4" spans="1:22">
      <c r="A4" s="139" t="s">
        <v>126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1"/>
      <c r="O4" s="141"/>
      <c r="P4" s="141"/>
      <c r="Q4" s="141"/>
      <c r="R4" s="141"/>
    </row>
    <row r="5" spans="1:22">
      <c r="A5" s="142" t="s">
        <v>128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</row>
    <row r="6" spans="1:22">
      <c r="A6" s="142" t="s">
        <v>125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</row>
    <row r="7" spans="1:22">
      <c r="A7" s="142" t="s">
        <v>127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</row>
    <row r="8" spans="1:22">
      <c r="A8" s="139" t="s">
        <v>27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1"/>
      <c r="O8" s="141"/>
      <c r="P8" s="141"/>
      <c r="Q8" s="141"/>
      <c r="R8" s="141"/>
    </row>
    <row r="9" spans="1:22">
      <c r="A9" s="139" t="s">
        <v>28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</row>
    <row r="10" spans="1:22">
      <c r="A10" s="2"/>
    </row>
    <row r="11" spans="1:22">
      <c r="A11" s="136" t="s">
        <v>2</v>
      </c>
      <c r="B11" s="136" t="s">
        <v>0</v>
      </c>
      <c r="C11" s="136" t="s">
        <v>29</v>
      </c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 t="s">
        <v>30</v>
      </c>
    </row>
    <row r="12" spans="1:22" ht="25.5" customHeight="1">
      <c r="A12" s="136"/>
      <c r="B12" s="136"/>
      <c r="C12" s="136" t="s">
        <v>31</v>
      </c>
      <c r="D12" s="136"/>
      <c r="E12" s="136"/>
      <c r="F12" s="136" t="s">
        <v>32</v>
      </c>
      <c r="G12" s="136"/>
      <c r="H12" s="136"/>
      <c r="I12" s="136" t="s">
        <v>33</v>
      </c>
      <c r="J12" s="136"/>
      <c r="K12" s="136"/>
      <c r="L12" s="136" t="s">
        <v>34</v>
      </c>
      <c r="M12" s="136"/>
      <c r="N12" s="136"/>
      <c r="O12" s="136" t="s">
        <v>35</v>
      </c>
      <c r="P12" s="136"/>
      <c r="Q12" s="136"/>
      <c r="R12" s="136"/>
    </row>
    <row r="13" spans="1:22" ht="51">
      <c r="A13" s="136"/>
      <c r="B13" s="136"/>
      <c r="C13" s="17" t="s">
        <v>3</v>
      </c>
      <c r="D13" s="17" t="s">
        <v>4</v>
      </c>
      <c r="E13" s="34" t="s">
        <v>5</v>
      </c>
      <c r="F13" s="17" t="s">
        <v>3</v>
      </c>
      <c r="G13" s="17" t="s">
        <v>4</v>
      </c>
      <c r="H13" s="34" t="s">
        <v>5</v>
      </c>
      <c r="I13" s="17" t="s">
        <v>3</v>
      </c>
      <c r="J13" s="17" t="s">
        <v>4</v>
      </c>
      <c r="K13" s="17" t="s">
        <v>36</v>
      </c>
      <c r="L13" s="17" t="s">
        <v>3</v>
      </c>
      <c r="M13" s="17" t="s">
        <v>4</v>
      </c>
      <c r="N13" s="17" t="s">
        <v>36</v>
      </c>
      <c r="O13" s="17" t="s">
        <v>3</v>
      </c>
      <c r="P13" s="17" t="s">
        <v>4</v>
      </c>
      <c r="Q13" s="17" t="s">
        <v>36</v>
      </c>
      <c r="R13" s="20"/>
      <c r="T13" s="37"/>
      <c r="U13" s="37"/>
      <c r="V13" s="37"/>
    </row>
    <row r="14" spans="1:22">
      <c r="A14" s="17">
        <v>1</v>
      </c>
      <c r="B14" s="17">
        <v>2</v>
      </c>
      <c r="C14" s="17">
        <v>3</v>
      </c>
      <c r="D14" s="17">
        <v>4</v>
      </c>
      <c r="E14" s="17">
        <v>5</v>
      </c>
      <c r="F14" s="17">
        <v>6</v>
      </c>
      <c r="G14" s="17">
        <v>7</v>
      </c>
      <c r="H14" s="17">
        <v>8</v>
      </c>
      <c r="I14" s="17">
        <v>9</v>
      </c>
      <c r="J14" s="17">
        <v>10</v>
      </c>
      <c r="K14" s="17">
        <v>11</v>
      </c>
      <c r="L14" s="17">
        <v>12</v>
      </c>
      <c r="M14" s="17">
        <v>13</v>
      </c>
      <c r="N14" s="17">
        <v>14</v>
      </c>
      <c r="O14" s="17">
        <v>15</v>
      </c>
      <c r="P14" s="17">
        <v>16</v>
      </c>
      <c r="Q14" s="17">
        <v>17</v>
      </c>
      <c r="R14" s="17">
        <v>18</v>
      </c>
      <c r="T14" s="37"/>
      <c r="U14" s="37"/>
      <c r="V14" s="37"/>
    </row>
    <row r="15" spans="1:22" ht="38.25">
      <c r="A15" s="17">
        <v>1</v>
      </c>
      <c r="B15" s="21" t="s">
        <v>37</v>
      </c>
      <c r="C15" s="30">
        <v>2</v>
      </c>
      <c r="D15" s="30">
        <v>2</v>
      </c>
      <c r="E15" s="36">
        <f>(D15-C15)/D15</f>
        <v>0</v>
      </c>
      <c r="F15" s="30">
        <v>5</v>
      </c>
      <c r="G15" s="30">
        <v>5</v>
      </c>
      <c r="H15" s="36">
        <f>(G15-F15)/G15</f>
        <v>0</v>
      </c>
      <c r="I15" s="30">
        <v>2</v>
      </c>
      <c r="J15" s="30">
        <v>2</v>
      </c>
      <c r="K15" s="36">
        <f>(J15-I15)/J15</f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f>D15+J15+G15</f>
        <v>9</v>
      </c>
      <c r="T15" s="38"/>
      <c r="U15" s="38"/>
      <c r="V15" s="39"/>
    </row>
    <row r="16" spans="1:22" ht="63.75">
      <c r="A16" s="17">
        <v>2</v>
      </c>
      <c r="B16" s="20" t="s">
        <v>38</v>
      </c>
      <c r="C16" s="30">
        <v>1</v>
      </c>
      <c r="D16" s="30">
        <v>1</v>
      </c>
      <c r="E16" s="36">
        <v>0</v>
      </c>
      <c r="F16" s="30">
        <v>4</v>
      </c>
      <c r="G16" s="30">
        <v>4</v>
      </c>
      <c r="H16" s="36">
        <f t="shared" ref="H16:H26" si="0">(G16-F16)/G16</f>
        <v>0</v>
      </c>
      <c r="I16" s="30">
        <v>2</v>
      </c>
      <c r="J16" s="30">
        <v>2</v>
      </c>
      <c r="K16" s="36">
        <f t="shared" ref="K16:K26" si="1">(J16-I16)/J16</f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24">
        <f>D16+J16+G16</f>
        <v>7</v>
      </c>
      <c r="T16" s="38"/>
      <c r="U16" s="38"/>
      <c r="V16" s="39"/>
    </row>
    <row r="17" spans="1:22" ht="102">
      <c r="A17" s="17">
        <v>3</v>
      </c>
      <c r="B17" s="20" t="s">
        <v>39</v>
      </c>
      <c r="C17" s="30">
        <v>0</v>
      </c>
      <c r="D17" s="30">
        <v>0</v>
      </c>
      <c r="E17" s="36">
        <v>0</v>
      </c>
      <c r="F17" s="30">
        <v>0</v>
      </c>
      <c r="G17" s="30">
        <v>0</v>
      </c>
      <c r="H17" s="36">
        <v>0</v>
      </c>
      <c r="I17" s="30">
        <v>0</v>
      </c>
      <c r="J17" s="30">
        <v>0</v>
      </c>
      <c r="K17" s="36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24">
        <f t="shared" ref="R17:R25" si="2">D17+J17+G17</f>
        <v>0</v>
      </c>
      <c r="T17" s="38"/>
      <c r="U17" s="38"/>
      <c r="V17" s="39"/>
    </row>
    <row r="18" spans="1:22">
      <c r="A18" s="22" t="s">
        <v>107</v>
      </c>
      <c r="B18" s="20" t="s">
        <v>40</v>
      </c>
      <c r="C18" s="30">
        <v>0</v>
      </c>
      <c r="D18" s="30">
        <v>0</v>
      </c>
      <c r="E18" s="36">
        <v>0</v>
      </c>
      <c r="F18" s="30">
        <v>0</v>
      </c>
      <c r="G18" s="30">
        <v>0</v>
      </c>
      <c r="H18" s="36">
        <v>0</v>
      </c>
      <c r="I18" s="30">
        <v>0</v>
      </c>
      <c r="J18" s="30">
        <v>0</v>
      </c>
      <c r="K18" s="36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24">
        <f t="shared" si="2"/>
        <v>0</v>
      </c>
      <c r="T18" s="38"/>
      <c r="U18" s="38"/>
      <c r="V18" s="39"/>
    </row>
    <row r="19" spans="1:22">
      <c r="A19" s="22" t="s">
        <v>108</v>
      </c>
      <c r="B19" s="20" t="s">
        <v>41</v>
      </c>
      <c r="C19" s="30">
        <v>0</v>
      </c>
      <c r="D19" s="30">
        <v>0</v>
      </c>
      <c r="E19" s="36">
        <v>0</v>
      </c>
      <c r="F19" s="30">
        <v>0</v>
      </c>
      <c r="G19" s="30">
        <v>0</v>
      </c>
      <c r="H19" s="36">
        <v>0</v>
      </c>
      <c r="I19" s="30">
        <v>0</v>
      </c>
      <c r="J19" s="30">
        <v>0</v>
      </c>
      <c r="K19" s="36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24">
        <f t="shared" si="2"/>
        <v>0</v>
      </c>
      <c r="T19" s="38"/>
      <c r="U19" s="38"/>
      <c r="V19" s="39"/>
    </row>
    <row r="20" spans="1:22" ht="63.75">
      <c r="A20" s="17">
        <v>4</v>
      </c>
      <c r="B20" s="20" t="s">
        <v>42</v>
      </c>
      <c r="C20" s="30">
        <v>1</v>
      </c>
      <c r="D20" s="30">
        <v>1</v>
      </c>
      <c r="E20" s="36">
        <v>0</v>
      </c>
      <c r="F20" s="30">
        <v>4</v>
      </c>
      <c r="G20" s="30">
        <v>4</v>
      </c>
      <c r="H20" s="36">
        <f t="shared" si="0"/>
        <v>0</v>
      </c>
      <c r="I20" s="30">
        <v>2</v>
      </c>
      <c r="J20" s="30">
        <v>2</v>
      </c>
      <c r="K20" s="36">
        <f t="shared" si="1"/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24">
        <f>D20+J20+G20</f>
        <v>7</v>
      </c>
      <c r="T20" s="38"/>
      <c r="U20" s="38"/>
      <c r="V20" s="39"/>
    </row>
    <row r="21" spans="1:22" ht="51">
      <c r="A21" s="17">
        <v>5</v>
      </c>
      <c r="B21" s="20" t="s">
        <v>43</v>
      </c>
      <c r="C21" s="30">
        <v>1</v>
      </c>
      <c r="D21" s="30">
        <v>1</v>
      </c>
      <c r="E21" s="36">
        <v>0</v>
      </c>
      <c r="F21" s="30">
        <v>4</v>
      </c>
      <c r="G21" s="30">
        <v>4</v>
      </c>
      <c r="H21" s="36">
        <f t="shared" si="0"/>
        <v>0</v>
      </c>
      <c r="I21" s="30">
        <v>2</v>
      </c>
      <c r="J21" s="30">
        <v>2</v>
      </c>
      <c r="K21" s="36">
        <f t="shared" si="1"/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24">
        <f>D21+J21+G21</f>
        <v>7</v>
      </c>
      <c r="T21" s="38"/>
      <c r="U21" s="38"/>
      <c r="V21" s="39"/>
    </row>
    <row r="22" spans="1:22" ht="51">
      <c r="A22" s="17">
        <v>6</v>
      </c>
      <c r="B22" s="20" t="s">
        <v>44</v>
      </c>
      <c r="C22" s="30">
        <v>1</v>
      </c>
      <c r="D22" s="30">
        <v>1</v>
      </c>
      <c r="E22" s="36">
        <v>0</v>
      </c>
      <c r="F22" s="30">
        <v>3</v>
      </c>
      <c r="G22" s="30">
        <v>3</v>
      </c>
      <c r="H22" s="36">
        <f t="shared" si="0"/>
        <v>0</v>
      </c>
      <c r="I22" s="30">
        <v>2</v>
      </c>
      <c r="J22" s="30">
        <v>2</v>
      </c>
      <c r="K22" s="36">
        <f t="shared" si="1"/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24">
        <f t="shared" si="2"/>
        <v>6</v>
      </c>
      <c r="T22" s="38"/>
      <c r="U22" s="38"/>
      <c r="V22" s="39"/>
    </row>
    <row r="23" spans="1:22" ht="89.25">
      <c r="A23" s="17">
        <v>7</v>
      </c>
      <c r="B23" s="20" t="s">
        <v>45</v>
      </c>
      <c r="C23" s="30">
        <v>0</v>
      </c>
      <c r="D23" s="30">
        <v>0</v>
      </c>
      <c r="E23" s="36">
        <v>0</v>
      </c>
      <c r="F23" s="30">
        <v>0</v>
      </c>
      <c r="G23" s="30">
        <v>0</v>
      </c>
      <c r="H23" s="36">
        <v>0</v>
      </c>
      <c r="I23" s="30">
        <v>0</v>
      </c>
      <c r="J23" s="30">
        <v>0</v>
      </c>
      <c r="K23" s="36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24">
        <f t="shared" si="2"/>
        <v>0</v>
      </c>
      <c r="T23" s="38"/>
      <c r="U23" s="38"/>
      <c r="V23" s="39"/>
    </row>
    <row r="24" spans="1:22">
      <c r="A24" s="22" t="s">
        <v>116</v>
      </c>
      <c r="B24" s="20" t="s">
        <v>40</v>
      </c>
      <c r="C24" s="30">
        <v>0</v>
      </c>
      <c r="D24" s="30">
        <v>0</v>
      </c>
      <c r="E24" s="36">
        <v>0</v>
      </c>
      <c r="F24" s="30">
        <v>0</v>
      </c>
      <c r="G24" s="30">
        <v>0</v>
      </c>
      <c r="H24" s="36">
        <v>0</v>
      </c>
      <c r="I24" s="30">
        <v>0</v>
      </c>
      <c r="J24" s="30">
        <v>0</v>
      </c>
      <c r="K24" s="36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24">
        <f t="shared" si="2"/>
        <v>0</v>
      </c>
      <c r="T24" s="38"/>
      <c r="U24" s="38"/>
      <c r="V24" s="39"/>
    </row>
    <row r="25" spans="1:22">
      <c r="A25" s="22" t="s">
        <v>117</v>
      </c>
      <c r="B25" s="20" t="s">
        <v>46</v>
      </c>
      <c r="C25" s="30">
        <v>0</v>
      </c>
      <c r="D25" s="30">
        <v>0</v>
      </c>
      <c r="E25" s="36">
        <v>0</v>
      </c>
      <c r="F25" s="30">
        <v>0</v>
      </c>
      <c r="G25" s="30">
        <v>0</v>
      </c>
      <c r="H25" s="36">
        <v>0</v>
      </c>
      <c r="I25" s="30">
        <v>0</v>
      </c>
      <c r="J25" s="30">
        <v>0</v>
      </c>
      <c r="K25" s="36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24">
        <f t="shared" si="2"/>
        <v>0</v>
      </c>
      <c r="T25" s="38"/>
      <c r="U25" s="38"/>
      <c r="V25" s="39"/>
    </row>
    <row r="26" spans="1:22" ht="51">
      <c r="A26" s="17">
        <v>8</v>
      </c>
      <c r="B26" s="20" t="s">
        <v>47</v>
      </c>
      <c r="C26" s="30">
        <v>1</v>
      </c>
      <c r="D26" s="30">
        <v>1</v>
      </c>
      <c r="E26" s="36">
        <v>0</v>
      </c>
      <c r="F26" s="30">
        <v>4</v>
      </c>
      <c r="G26" s="30">
        <v>4</v>
      </c>
      <c r="H26" s="36">
        <f t="shared" si="0"/>
        <v>0</v>
      </c>
      <c r="I26" s="30">
        <v>2</v>
      </c>
      <c r="J26" s="30">
        <v>2</v>
      </c>
      <c r="K26" s="36">
        <f t="shared" si="1"/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24">
        <f>D26+J26+G26</f>
        <v>7</v>
      </c>
      <c r="T26" s="38"/>
      <c r="U26" s="38"/>
      <c r="V26" s="39"/>
    </row>
    <row r="27" spans="1:22">
      <c r="A27" s="2"/>
    </row>
    <row r="28" spans="1:22" ht="33.75" customHeight="1">
      <c r="A28" s="137" t="s">
        <v>48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</row>
    <row r="29" spans="1:22" ht="28.5" customHeight="1">
      <c r="A29" s="143" t="s">
        <v>281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</row>
    <row r="30" spans="1:22">
      <c r="B30" s="136" t="s">
        <v>49</v>
      </c>
      <c r="C30" s="136"/>
      <c r="D30" s="136"/>
      <c r="E30" s="136">
        <v>15</v>
      </c>
      <c r="F30" s="136"/>
      <c r="G30" s="136">
        <v>150</v>
      </c>
      <c r="H30" s="136"/>
      <c r="I30" s="136">
        <v>250</v>
      </c>
      <c r="J30" s="136"/>
      <c r="K30" s="136">
        <v>670</v>
      </c>
      <c r="L30" s="136"/>
    </row>
    <row r="31" spans="1:22">
      <c r="B31" s="136" t="s">
        <v>50</v>
      </c>
      <c r="C31" s="136"/>
      <c r="D31" s="136"/>
      <c r="E31" s="17" t="s">
        <v>51</v>
      </c>
      <c r="F31" s="17" t="s">
        <v>52</v>
      </c>
      <c r="G31" s="17" t="s">
        <v>51</v>
      </c>
      <c r="H31" s="17" t="s">
        <v>52</v>
      </c>
      <c r="I31" s="17" t="s">
        <v>51</v>
      </c>
      <c r="J31" s="17" t="s">
        <v>52</v>
      </c>
      <c r="K31" s="17" t="s">
        <v>51</v>
      </c>
      <c r="L31" s="17" t="s">
        <v>52</v>
      </c>
    </row>
    <row r="32" spans="1:22" ht="89.25">
      <c r="B32" s="17" t="s">
        <v>53</v>
      </c>
      <c r="C32" s="17" t="s">
        <v>54</v>
      </c>
      <c r="D32" s="17" t="s">
        <v>55</v>
      </c>
      <c r="E32" s="25" t="s">
        <v>248</v>
      </c>
      <c r="F32" s="25" t="s">
        <v>249</v>
      </c>
      <c r="G32" s="25" t="s">
        <v>248</v>
      </c>
      <c r="H32" s="25" t="s">
        <v>248</v>
      </c>
      <c r="I32" s="25" t="s">
        <v>248</v>
      </c>
      <c r="J32" s="25" t="s">
        <v>248</v>
      </c>
      <c r="K32" s="25" t="s">
        <v>248</v>
      </c>
      <c r="L32" s="25" t="s">
        <v>248</v>
      </c>
    </row>
    <row r="33" spans="2:12">
      <c r="B33" s="135" t="s">
        <v>246</v>
      </c>
      <c r="C33" s="135" t="s">
        <v>56</v>
      </c>
      <c r="D33" s="23" t="s">
        <v>57</v>
      </c>
      <c r="E33" s="26">
        <f>(21.81*15+2*(315089.02*0.3)+539.96*15)</f>
        <v>197479.962</v>
      </c>
      <c r="F33" s="144">
        <v>550</v>
      </c>
      <c r="G33" s="27">
        <f>(21.81*150+2*(315089.02*0.3)+539.96*150)</f>
        <v>273318.91200000001</v>
      </c>
      <c r="H33" s="27">
        <f>21.81*150+(315089.02*0.3)+539.96*150</f>
        <v>178792.20600000001</v>
      </c>
      <c r="I33" s="27">
        <f>(21.81*250+2*(630178.54*0.3)+1079.93*250)</f>
        <v>653542.12400000007</v>
      </c>
      <c r="J33" s="27">
        <f>21.81*250+(630178.54*0.3)+1079.93*250</f>
        <v>464488.56200000003</v>
      </c>
      <c r="K33" s="27">
        <f>(21.81*670+2*(630178.54*0.3)+1079.93*670)</f>
        <v>1116272.9240000001</v>
      </c>
      <c r="L33" s="27">
        <f>21.81*670+(630178.54*0.3)+1079.93*670</f>
        <v>927219.36200000008</v>
      </c>
    </row>
    <row r="34" spans="2:12">
      <c r="B34" s="135"/>
      <c r="C34" s="135"/>
      <c r="D34" s="23" t="s">
        <v>58</v>
      </c>
      <c r="E34" s="26">
        <f>(21.81*15+2*(157903.11*0.3)+539.96*15)</f>
        <v>103168.41599999998</v>
      </c>
      <c r="F34" s="146"/>
      <c r="G34" s="27">
        <f>(21.81*150+2*(157903.11*0.3)+539.96*150)</f>
        <v>179007.36599999998</v>
      </c>
      <c r="H34" s="27">
        <f>21.81*150+(157903.11*0.3)+539.96*150</f>
        <v>131636.43299999999</v>
      </c>
      <c r="I34" s="27">
        <f>(21.81*250+2*(315806.44*0.3)+1079.93*250)</f>
        <v>464918.864</v>
      </c>
      <c r="J34" s="27">
        <f>21.81*250+(315806.44*0.3)+1079.93*250</f>
        <v>370176.93200000003</v>
      </c>
      <c r="K34" s="27">
        <f>(21.81*670+2*(315806.44*0.3)+1079.93*670)</f>
        <v>927649.66400000011</v>
      </c>
      <c r="L34" s="27">
        <f>21.81*670+(315806.44*0.3)+1079.93*670</f>
        <v>832907.73200000008</v>
      </c>
    </row>
    <row r="35" spans="2:12">
      <c r="B35" s="135"/>
      <c r="C35" s="135" t="s">
        <v>59</v>
      </c>
      <c r="D35" s="23" t="s">
        <v>57</v>
      </c>
      <c r="E35" s="26">
        <f>(21.81*15+2*(315089.02*0.3))</f>
        <v>189380.56200000001</v>
      </c>
      <c r="F35" s="144">
        <v>550</v>
      </c>
      <c r="G35" s="27">
        <f>(21.81*150+2*(315089.02*0.3))</f>
        <v>192324.91200000001</v>
      </c>
      <c r="H35" s="27">
        <f>21.81*150+(315089.02*0.3)</f>
        <v>97798.206000000006</v>
      </c>
      <c r="I35" s="27">
        <f>(21.81*250+2*(630178.54*0.3))</f>
        <v>383559.62400000001</v>
      </c>
      <c r="J35" s="27">
        <f>21.81*250+(630178.54*0.3)</f>
        <v>194506.06200000001</v>
      </c>
      <c r="K35" s="27">
        <f>(21.81*670+2*(630178.54*0.3))</f>
        <v>392719.82400000002</v>
      </c>
      <c r="L35" s="27">
        <f>21.81*670+(630178.54*0.3)</f>
        <v>203666.26200000002</v>
      </c>
    </row>
    <row r="36" spans="2:12">
      <c r="B36" s="135"/>
      <c r="C36" s="135"/>
      <c r="D36" s="23" t="s">
        <v>58</v>
      </c>
      <c r="E36" s="26">
        <f>(21.81*15+2*(157903.11*0.3))</f>
        <v>95069.015999999989</v>
      </c>
      <c r="F36" s="145"/>
      <c r="G36" s="27">
        <f>(21.81*150+2*(157903.11*0.3))</f>
        <v>98013.365999999995</v>
      </c>
      <c r="H36" s="27">
        <f>21.81*150+(157903.11*0.3)</f>
        <v>50642.432999999997</v>
      </c>
      <c r="I36" s="27">
        <f>(21.81*250+2*(315806.44*0.3))</f>
        <v>194936.364</v>
      </c>
      <c r="J36" s="27">
        <f>21.81*250+(315806.44*0.3)</f>
        <v>100194.432</v>
      </c>
      <c r="K36" s="27">
        <f>(21.81*670+2*(315806.44*0.3))</f>
        <v>204096.56400000001</v>
      </c>
      <c r="L36" s="27">
        <f>21.81*670+(315806.44*0.3)</f>
        <v>109354.632</v>
      </c>
    </row>
    <row r="37" spans="2:12">
      <c r="B37" s="135" t="s">
        <v>247</v>
      </c>
      <c r="C37" s="135" t="s">
        <v>56</v>
      </c>
      <c r="D37" s="18" t="s">
        <v>57</v>
      </c>
      <c r="E37" s="26">
        <f>(21.81*15+2*(315089.02*0.5)+539.96*15)</f>
        <v>323515.57000000007</v>
      </c>
      <c r="F37" s="144">
        <v>550</v>
      </c>
      <c r="G37" s="27">
        <f>(21.81*150+2*(315089.02*0.5)+539.96*150)</f>
        <v>399354.52</v>
      </c>
      <c r="H37" s="27">
        <f>21.81*150+(315089.02*0.5)+539.96*150</f>
        <v>241810.01</v>
      </c>
      <c r="I37" s="27">
        <f>(21.81*250+2*(630178.54*0.5)+1079.93*250)</f>
        <v>905613.54</v>
      </c>
      <c r="J37" s="27">
        <f>21.81*250+(630178.54*0.5)+1079.93*250</f>
        <v>590524.27</v>
      </c>
      <c r="K37" s="27">
        <f>(21.81*670+2*(630178.54*0.5)+1079.93*670)</f>
        <v>1368344.34</v>
      </c>
      <c r="L37" s="27">
        <f>21.81*670+(630178.54*0.5)+1079.93*670</f>
        <v>1053255.07</v>
      </c>
    </row>
    <row r="38" spans="2:12">
      <c r="B38" s="135"/>
      <c r="C38" s="135"/>
      <c r="D38" s="18" t="s">
        <v>58</v>
      </c>
      <c r="E38" s="26">
        <f>(21.81*15+2*(157903.11*0.5)+539.96*15)</f>
        <v>166329.65999999997</v>
      </c>
      <c r="F38" s="145"/>
      <c r="G38" s="27">
        <f>(21.81*150+2*(157903.11*0.5)+539.96*150)</f>
        <v>242168.61</v>
      </c>
      <c r="H38" s="27">
        <f>21.81*150+(157903.11*0.5)+539.96*150</f>
        <v>163217.05499999999</v>
      </c>
      <c r="I38" s="27">
        <f>(21.81*250+2*(315806.44*0.5)+1079.93*250)</f>
        <v>591241.43999999994</v>
      </c>
      <c r="J38" s="27">
        <f>21.81*250+(315806.44*0.5)+1079.93*250</f>
        <v>433338.22</v>
      </c>
      <c r="K38" s="27">
        <f>(21.81*670+2*(315806.44*0.5)+1079.93*670)</f>
        <v>1053972.2400000002</v>
      </c>
      <c r="L38" s="27">
        <f>21.81*670+(315806.44*0.5)+1079.93*670</f>
        <v>896069.02000000014</v>
      </c>
    </row>
    <row r="39" spans="2:12">
      <c r="B39" s="135"/>
      <c r="C39" s="135" t="s">
        <v>59</v>
      </c>
      <c r="D39" s="18" t="s">
        <v>57</v>
      </c>
      <c r="E39" s="26">
        <f>(21.81*15+2*(315089.02*0.5))</f>
        <v>315416.17000000004</v>
      </c>
      <c r="F39" s="144">
        <v>550</v>
      </c>
      <c r="G39" s="27">
        <f>(21.81*150+2*(315089.02*0.5))</f>
        <v>318360.52</v>
      </c>
      <c r="H39" s="27">
        <f>21.81*150+(315089.02*0.5)</f>
        <v>160816.01</v>
      </c>
      <c r="I39" s="27">
        <f>(21.81*250+2*(630178.54*0.5))</f>
        <v>635631.04</v>
      </c>
      <c r="J39" s="27">
        <f>21.81*250+(630178.54*0.5)</f>
        <v>320541.77</v>
      </c>
      <c r="K39" s="27">
        <f>(21.81*670+2*(630178.54*0.5))</f>
        <v>644791.24</v>
      </c>
      <c r="L39" s="27">
        <f>21.81*670+(630178.54*0.5)</f>
        <v>329701.97000000003</v>
      </c>
    </row>
    <row r="40" spans="2:12">
      <c r="B40" s="135"/>
      <c r="C40" s="135"/>
      <c r="D40" s="18" t="s">
        <v>58</v>
      </c>
      <c r="E40" s="26">
        <f>(21.81*15+2*(157903.11*0.5))</f>
        <v>158230.25999999998</v>
      </c>
      <c r="F40" s="145"/>
      <c r="G40" s="27">
        <f>(21.81*150+2*(157903.11*0.5))</f>
        <v>161174.60999999999</v>
      </c>
      <c r="H40" s="27">
        <f>21.81*150+(157903.11*0.5)</f>
        <v>82223.054999999993</v>
      </c>
      <c r="I40" s="27">
        <f>(21.81*250+2*(315806.44*0.5))</f>
        <v>321258.94</v>
      </c>
      <c r="J40" s="27">
        <f>21.81*250+(315806.44*0.5)</f>
        <v>163355.72</v>
      </c>
      <c r="K40" s="27">
        <f>(21.81*670+2*(315806.44*0.5))</f>
        <v>330419.14</v>
      </c>
      <c r="L40" s="27">
        <f>21.81*670+(315806.44*0.5)</f>
        <v>172515.92</v>
      </c>
    </row>
    <row r="41" spans="2:12">
      <c r="B41" s="135">
        <v>750</v>
      </c>
      <c r="C41" s="135" t="s">
        <v>56</v>
      </c>
      <c r="D41" s="18" t="s">
        <v>57</v>
      </c>
      <c r="E41" s="26">
        <f>(21.81*15+2*(315089.02*0.75)+539.96*15)</f>
        <v>481060.08000000007</v>
      </c>
      <c r="F41" s="26">
        <f>21.81*15+(315089.02*0.75)+539.96*15</f>
        <v>244743.315</v>
      </c>
      <c r="G41" s="27">
        <f>(21.81*150+2*(315089.02*0.75)+539.96*150)</f>
        <v>556899.03</v>
      </c>
      <c r="H41" s="27">
        <f>21.81*150+(315089.02*0.75)+539.96*150</f>
        <v>320582.26500000001</v>
      </c>
      <c r="I41" s="27">
        <f>(21.81*250+2*(630178.54*0.75)+1079.93*250)</f>
        <v>1220702.81</v>
      </c>
      <c r="J41" s="27">
        <f>21.81*250+(630178.54*0.75)+1079.93*250</f>
        <v>748068.90500000003</v>
      </c>
      <c r="K41" s="27">
        <f>(21.81*670+2*(630178.54*0.75)+1079.93*670)</f>
        <v>1683433.61</v>
      </c>
      <c r="L41" s="27">
        <f>21.81*670+(630178.54*0.75)+1079.93*670</f>
        <v>1210799.7050000001</v>
      </c>
    </row>
    <row r="42" spans="2:12">
      <c r="B42" s="135"/>
      <c r="C42" s="135"/>
      <c r="D42" s="18" t="s">
        <v>58</v>
      </c>
      <c r="E42" s="26">
        <f>(21.81*15+2*(157903.11*0.75)+539.96*15)</f>
        <v>245281.21499999997</v>
      </c>
      <c r="F42" s="26">
        <f>21.81*15+(157903.11*0.75)+539.96*15</f>
        <v>126853.88249999998</v>
      </c>
      <c r="G42" s="27">
        <f>(21.81*150+2*(157903.11*0.75)+539.96*150)</f>
        <v>321120.16499999998</v>
      </c>
      <c r="H42" s="27">
        <f>21.81*150+(157903.11*0.75)+539.96*150</f>
        <v>202692.83249999999</v>
      </c>
      <c r="I42" s="27">
        <f>(21.81*250+2*(315806.44*0.75)+1079.93*250)</f>
        <v>749144.66</v>
      </c>
      <c r="J42" s="27">
        <f>21.81*250+(315806.44*0.75)+1079.93*250</f>
        <v>512289.83</v>
      </c>
      <c r="K42" s="27">
        <f>(21.81*670+2*(315806.44*0.75)+1079.93*670)</f>
        <v>1211875.4600000002</v>
      </c>
      <c r="L42" s="27">
        <f>21.81*670+(315806.44*0.75)+1079.93*670</f>
        <v>975020.63000000012</v>
      </c>
    </row>
    <row r="43" spans="2:12">
      <c r="B43" s="135"/>
      <c r="C43" s="135" t="s">
        <v>59</v>
      </c>
      <c r="D43" s="18" t="s">
        <v>57</v>
      </c>
      <c r="E43" s="26">
        <f>(21.81*15+2*(315089.02*0.75))</f>
        <v>472960.68000000005</v>
      </c>
      <c r="F43" s="26">
        <f>21.81*15+(315089.02*0.75)</f>
        <v>236643.91500000001</v>
      </c>
      <c r="G43" s="27">
        <f>(21.81*150+2*(315089.02*0.75))</f>
        <v>475905.03</v>
      </c>
      <c r="H43" s="27">
        <f>21.81*150+(315089.02*0.75)</f>
        <v>239588.26500000001</v>
      </c>
      <c r="I43" s="27">
        <f>(21.81*250+2*(630178.54*0.75))</f>
        <v>950720.31</v>
      </c>
      <c r="J43" s="27">
        <f>21.81*250+(630178.54*0.75)</f>
        <v>478086.40500000003</v>
      </c>
      <c r="K43" s="27">
        <f>(21.81*670+2*(630178.54*0.75))</f>
        <v>959880.51</v>
      </c>
      <c r="L43" s="27">
        <f>21.81*670+(630178.54*0.75)</f>
        <v>487246.60500000004</v>
      </c>
    </row>
    <row r="44" spans="2:12">
      <c r="B44" s="135"/>
      <c r="C44" s="135"/>
      <c r="D44" s="18" t="s">
        <v>58</v>
      </c>
      <c r="E44" s="26">
        <f>(21.81*15+2*(157903.11*0.75))</f>
        <v>237181.81499999997</v>
      </c>
      <c r="F44" s="26">
        <f>21.81*15+(157903.11*0.75)</f>
        <v>118754.48249999998</v>
      </c>
      <c r="G44" s="27">
        <f>(21.81*150+2*(157903.11*0.75))</f>
        <v>240126.16499999998</v>
      </c>
      <c r="H44" s="27">
        <f>21.81*150+(157903.11*0.75)</f>
        <v>121698.83249999999</v>
      </c>
      <c r="I44" s="27">
        <f>(21.81*250+2*(315806.44*0.75))</f>
        <v>479162.16000000003</v>
      </c>
      <c r="J44" s="27">
        <f>21.81*250+(315806.44*0.75)</f>
        <v>242307.33000000002</v>
      </c>
      <c r="K44" s="27">
        <f>(21.81*670+2*(315806.44*0.75))</f>
        <v>488322.36000000004</v>
      </c>
      <c r="L44" s="27">
        <f>21.81*670+(315806.44*0.75)</f>
        <v>251467.53000000003</v>
      </c>
    </row>
    <row r="45" spans="2:12">
      <c r="B45" s="135">
        <v>1000</v>
      </c>
      <c r="C45" s="135" t="s">
        <v>56</v>
      </c>
      <c r="D45" s="18" t="s">
        <v>57</v>
      </c>
      <c r="E45" s="26">
        <f>(21.81*15+2*(315089.02*1)+539.96*15)</f>
        <v>638604.59000000008</v>
      </c>
      <c r="F45" s="26">
        <f>21.81*15+(315089.02*1)+539.96*15</f>
        <v>323515.57000000007</v>
      </c>
      <c r="G45" s="27">
        <f>(21.81*150+2*(315089.02*1)+539.96*150)</f>
        <v>714443.54</v>
      </c>
      <c r="H45" s="27">
        <f>21.81*150+(315089.02*1)+539.96*150</f>
        <v>399354.52</v>
      </c>
      <c r="I45" s="27">
        <f>(21.81*250+2*(630178.54*1)+1079.93*250)</f>
        <v>1535792.08</v>
      </c>
      <c r="J45" s="27">
        <f>21.81*250+(630178.54*1)+1079.93*250</f>
        <v>905613.54</v>
      </c>
      <c r="K45" s="27">
        <f>(21.81*670+2*(630178.54*1)+1079.93*670)</f>
        <v>1998522.8800000001</v>
      </c>
      <c r="L45" s="27">
        <f>21.81*670+(630178.54*1)+1079.93*670</f>
        <v>1368344.34</v>
      </c>
    </row>
    <row r="46" spans="2:12">
      <c r="B46" s="135"/>
      <c r="C46" s="135"/>
      <c r="D46" s="18" t="s">
        <v>58</v>
      </c>
      <c r="E46" s="26">
        <f>(21.81*15+2*(157903.11*1)+539.96*15)</f>
        <v>324232.77</v>
      </c>
      <c r="F46" s="26">
        <f>21.81*15+(157903.11*1)+539.96*15</f>
        <v>166329.65999999997</v>
      </c>
      <c r="G46" s="27">
        <f>(21.81*150+2*(157903.11*1)+539.96*150)</f>
        <v>400071.72</v>
      </c>
      <c r="H46" s="27">
        <f>21.81*150+(157903.11*1)+539.96*150</f>
        <v>242168.61</v>
      </c>
      <c r="I46" s="27">
        <f>(21.81*250+2*(315806.44*1)+1079.93*250)</f>
        <v>907047.88</v>
      </c>
      <c r="J46" s="27">
        <f>21.81*250+(315806.44*1)+1079.93*250</f>
        <v>591241.43999999994</v>
      </c>
      <c r="K46" s="27">
        <f>(21.81*670+2*(315806.44*1)+1079.93*670)</f>
        <v>1369778.6800000002</v>
      </c>
      <c r="L46" s="27">
        <f>21.81*670+(315806.44*1)+1079.93*670</f>
        <v>1053972.2400000002</v>
      </c>
    </row>
    <row r="47" spans="2:12">
      <c r="B47" s="135"/>
      <c r="C47" s="135" t="s">
        <v>59</v>
      </c>
      <c r="D47" s="18" t="s">
        <v>57</v>
      </c>
      <c r="E47" s="26">
        <f>(21.81*15+2*(315089.02*1))</f>
        <v>630505.19000000006</v>
      </c>
      <c r="F47" s="26">
        <f>21.81*15+(315089.02*1)</f>
        <v>315416.17000000004</v>
      </c>
      <c r="G47" s="27">
        <f>(21.81*150+2*(315089.02*1))</f>
        <v>633449.54</v>
      </c>
      <c r="H47" s="27">
        <f>21.81*150+(315089.02*1)</f>
        <v>318360.52</v>
      </c>
      <c r="I47" s="27">
        <f>(21.81*250+2*(630178.54*1))</f>
        <v>1265809.58</v>
      </c>
      <c r="J47" s="27">
        <f>21.81*250+(630178.54*1)</f>
        <v>635631.04</v>
      </c>
      <c r="K47" s="27">
        <f>(21.81*670+2*(630178.54*1))</f>
        <v>1274969.78</v>
      </c>
      <c r="L47" s="27">
        <f>21.81*250+(630178.54*1)</f>
        <v>635631.04</v>
      </c>
    </row>
    <row r="48" spans="2:12">
      <c r="B48" s="135"/>
      <c r="C48" s="135"/>
      <c r="D48" s="18" t="s">
        <v>58</v>
      </c>
      <c r="E48" s="26">
        <f>(21.81*15+2*(157903.11*1))</f>
        <v>316133.37</v>
      </c>
      <c r="F48" s="26">
        <f>21.81*15+(157903.11*1)</f>
        <v>158230.25999999998</v>
      </c>
      <c r="G48" s="27">
        <f>(21.81*150+2*(157903.11*1))</f>
        <v>319077.71999999997</v>
      </c>
      <c r="H48" s="27">
        <f>21.81*150+(157903.11*1)</f>
        <v>161174.60999999999</v>
      </c>
      <c r="I48" s="27">
        <f>(21.81*250+2*(315806.44*1))</f>
        <v>637065.38</v>
      </c>
      <c r="J48" s="27">
        <f>21.81*250+(315806.44*1)</f>
        <v>321258.94</v>
      </c>
      <c r="K48" s="27">
        <f>(21.81*670+2*(315806.44*1))</f>
        <v>646225.57999999996</v>
      </c>
      <c r="L48" s="27">
        <f>21.81*250+(315806.44*1)</f>
        <v>321258.94</v>
      </c>
    </row>
    <row r="49" spans="2:12">
      <c r="B49" s="135">
        <v>1250</v>
      </c>
      <c r="C49" s="135" t="s">
        <v>56</v>
      </c>
      <c r="D49" s="18" t="s">
        <v>57</v>
      </c>
      <c r="E49" s="26">
        <f>(21.81*15+2*(315089.02*1.25)+539.96*15)</f>
        <v>796149.10000000009</v>
      </c>
      <c r="F49" s="26">
        <f>21.81*15+(315089.02*1.25)+539.96*15</f>
        <v>402287.82500000007</v>
      </c>
      <c r="G49" s="27">
        <f>(21.81*150+2*(315089.02*1.25)+539.96*150)</f>
        <v>871988.05</v>
      </c>
      <c r="H49" s="27">
        <f>21.81*150+(315089.02*1.25)+539.96*150</f>
        <v>478126.77500000002</v>
      </c>
      <c r="I49" s="27">
        <f>(21.81*250+2*(630178.54*1.25)+1079.93*250)</f>
        <v>1850881.35</v>
      </c>
      <c r="J49" s="27">
        <f>21.81*250+(630178.54*1.25)+1079.93*250</f>
        <v>1063158.175</v>
      </c>
      <c r="K49" s="27">
        <f>(21.81*670+2*(630178.54*1.25)+1079.93*670)</f>
        <v>2313612.1500000004</v>
      </c>
      <c r="L49" s="27">
        <f>21.81*670+(630178.54*1.25)+1079.93*670</f>
        <v>1525888.9750000001</v>
      </c>
    </row>
    <row r="50" spans="2:12">
      <c r="B50" s="135"/>
      <c r="C50" s="135"/>
      <c r="D50" s="18" t="s">
        <v>58</v>
      </c>
      <c r="E50" s="26">
        <f>(21.81*15+2*(157903.11*1.25)+539.96*15)</f>
        <v>403184.32500000001</v>
      </c>
      <c r="F50" s="26">
        <f>21.81*15+(157903.11*1.25)+539.96*15</f>
        <v>205805.43749999997</v>
      </c>
      <c r="G50" s="27">
        <f>(21.81*150+2*(157903.11*1.25)+539.96*150)</f>
        <v>479023.27499999997</v>
      </c>
      <c r="H50" s="27">
        <f>21.81*150+(157903.11*1.25)+539.96*150</f>
        <v>281644.38749999995</v>
      </c>
      <c r="I50" s="27">
        <f>(21.81*250+2*(315806.44*1.25)+1079.93*250)</f>
        <v>1064951.1000000001</v>
      </c>
      <c r="J50" s="27">
        <f>21.81*250+(315806.44*1.25)+1079.93*250</f>
        <v>670193.05000000005</v>
      </c>
      <c r="K50" s="27">
        <f>(21.81*670+2*(315806.44*1.25)+1079.93*670)</f>
        <v>1527681.9</v>
      </c>
      <c r="L50" s="27">
        <f>21.81*670+(315806.44*1.25)+1079.93*670</f>
        <v>1132923.8500000001</v>
      </c>
    </row>
    <row r="51" spans="2:12">
      <c r="B51" s="135"/>
      <c r="C51" s="135" t="s">
        <v>59</v>
      </c>
      <c r="D51" s="18" t="s">
        <v>57</v>
      </c>
      <c r="E51" s="26">
        <f>(21.81*15+2*(315089.02*1.25))</f>
        <v>788049.70000000007</v>
      </c>
      <c r="F51" s="26">
        <f>21.81*15+(315089.02*1.25)</f>
        <v>394188.42500000005</v>
      </c>
      <c r="G51" s="27">
        <f>(21.81*150+2*(315089.02*1.25))</f>
        <v>790994.05</v>
      </c>
      <c r="H51" s="27">
        <f>21.81*150+(315089.02*1.25)</f>
        <v>397132.77500000002</v>
      </c>
      <c r="I51" s="27">
        <f>(21.81*250+2*(630178.54*1.25))</f>
        <v>1580898.85</v>
      </c>
      <c r="J51" s="27">
        <f>21.81*250+(630178.54*1.25)</f>
        <v>793175.67500000005</v>
      </c>
      <c r="K51" s="27">
        <f>(21.81*670+2*(630178.54*1.25))</f>
        <v>1590059.05</v>
      </c>
      <c r="L51" s="27">
        <f>21.81*250+(630178.54*1.25)</f>
        <v>793175.67500000005</v>
      </c>
    </row>
    <row r="52" spans="2:12">
      <c r="B52" s="135"/>
      <c r="C52" s="135"/>
      <c r="D52" s="18" t="s">
        <v>58</v>
      </c>
      <c r="E52" s="26">
        <f>(21.81*15+2*(157903.11*1.25))</f>
        <v>395084.92499999999</v>
      </c>
      <c r="F52" s="26">
        <f>21.81*15+(157903.11*1.25)</f>
        <v>197706.03749999998</v>
      </c>
      <c r="G52" s="27">
        <f>(21.81*150+2*(157903.11*1.25))</f>
        <v>398029.27499999997</v>
      </c>
      <c r="H52" s="27">
        <f>21.81*150+(157903.11*1.25)</f>
        <v>200650.38749999998</v>
      </c>
      <c r="I52" s="27">
        <f>(21.81*250+2*(315806.44*1.25))</f>
        <v>794968.6</v>
      </c>
      <c r="J52" s="27">
        <f>21.81*250+(315806.44*1.25)</f>
        <v>400210.55</v>
      </c>
      <c r="K52" s="27">
        <f>(21.81*670+2*(315806.44*1.25))</f>
        <v>804128.79999999993</v>
      </c>
      <c r="L52" s="27">
        <f>21.81*250+(315806.44*1.25)</f>
        <v>400210.55</v>
      </c>
    </row>
    <row r="54" spans="2:12">
      <c r="B54" s="28" t="s">
        <v>250</v>
      </c>
      <c r="C54" s="16"/>
      <c r="D54" s="29"/>
    </row>
  </sheetData>
  <mergeCells count="45">
    <mergeCell ref="F33:F34"/>
    <mergeCell ref="F35:F36"/>
    <mergeCell ref="A1:M1"/>
    <mergeCell ref="A2:M2"/>
    <mergeCell ref="A9:M9"/>
    <mergeCell ref="A11:A13"/>
    <mergeCell ref="B11:B13"/>
    <mergeCell ref="C11:Q11"/>
    <mergeCell ref="C12:E12"/>
    <mergeCell ref="F12:H12"/>
    <mergeCell ref="I12:K12"/>
    <mergeCell ref="L12:N12"/>
    <mergeCell ref="O12:Q12"/>
    <mergeCell ref="C47:C48"/>
    <mergeCell ref="A28:R28"/>
    <mergeCell ref="A3:R3"/>
    <mergeCell ref="A4:R4"/>
    <mergeCell ref="A8:R8"/>
    <mergeCell ref="R11:R12"/>
    <mergeCell ref="A5:R5"/>
    <mergeCell ref="A6:R6"/>
    <mergeCell ref="A7:R7"/>
    <mergeCell ref="A29:R29"/>
    <mergeCell ref="C45:C46"/>
    <mergeCell ref="B33:B36"/>
    <mergeCell ref="C33:C34"/>
    <mergeCell ref="C35:C36"/>
    <mergeCell ref="F39:F40"/>
    <mergeCell ref="F37:F38"/>
    <mergeCell ref="B49:B52"/>
    <mergeCell ref="C49:C50"/>
    <mergeCell ref="C51:C52"/>
    <mergeCell ref="K30:L30"/>
    <mergeCell ref="B37:B40"/>
    <mergeCell ref="C37:C38"/>
    <mergeCell ref="C39:C40"/>
    <mergeCell ref="B41:B44"/>
    <mergeCell ref="C41:C42"/>
    <mergeCell ref="C43:C44"/>
    <mergeCell ref="B31:D31"/>
    <mergeCell ref="B30:D30"/>
    <mergeCell ref="E30:F30"/>
    <mergeCell ref="G30:H30"/>
    <mergeCell ref="I30:J30"/>
    <mergeCell ref="B45:B48"/>
  </mergeCells>
  <pageMargins left="0.7" right="0.7" top="0.75" bottom="0.75" header="0.3" footer="0.3"/>
  <pageSetup paperSize="9" scale="34" orientation="landscape" horizontalDpi="180" verticalDpi="180" r:id="rId1"/>
  <rowBreaks count="1" manualBreakCount="1">
    <brk id="54" max="17" man="1"/>
  </rowBreaks>
  <ignoredErrors>
    <ignoredError sqref="K47:K5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AO72"/>
  <sheetViews>
    <sheetView view="pageBreakPreview" zoomScale="70" zoomScaleSheetLayoutView="70" workbookViewId="0">
      <selection activeCell="G8" sqref="G8"/>
    </sheetView>
  </sheetViews>
  <sheetFormatPr defaultColWidth="12.28515625" defaultRowHeight="15"/>
  <cols>
    <col min="1" max="1" width="5.85546875" style="9" customWidth="1"/>
    <col min="2" max="2" width="27" style="6" customWidth="1"/>
    <col min="3" max="3" width="17.28515625" style="6" customWidth="1"/>
    <col min="4" max="4" width="13.5703125" style="6" customWidth="1"/>
    <col min="5" max="5" width="12.28515625" style="42"/>
    <col min="6" max="6" width="9.42578125" style="6" customWidth="1"/>
    <col min="7" max="7" width="17" style="6" customWidth="1"/>
    <col min="8" max="8" width="13.5703125" style="6" customWidth="1"/>
    <col min="9" max="9" width="10" style="6" customWidth="1"/>
    <col min="10" max="10" width="12.140625" style="6" customWidth="1"/>
    <col min="11" max="11" width="14.140625" style="6" customWidth="1"/>
    <col min="12" max="12" width="9.140625" style="6" customWidth="1"/>
    <col min="13" max="13" width="9.5703125" style="6" customWidth="1"/>
    <col min="14" max="14" width="10.7109375" style="6" customWidth="1"/>
    <col min="15" max="16384" width="12.28515625" style="6"/>
  </cols>
  <sheetData>
    <row r="1" spans="1:17" ht="15.75">
      <c r="A1" s="154" t="s">
        <v>242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</row>
    <row r="3" spans="1:17" ht="51" customHeight="1">
      <c r="A3" s="140" t="s">
        <v>133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</row>
    <row r="4" spans="1:17" s="5" customFormat="1">
      <c r="A4" s="150" t="s">
        <v>135</v>
      </c>
      <c r="B4" s="155" t="s">
        <v>60</v>
      </c>
      <c r="C4" s="155" t="s">
        <v>61</v>
      </c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</row>
    <row r="5" spans="1:17" s="5" customFormat="1" ht="36" customHeight="1">
      <c r="A5" s="150"/>
      <c r="B5" s="155"/>
      <c r="C5" s="149" t="s">
        <v>62</v>
      </c>
      <c r="D5" s="149"/>
      <c r="E5" s="149"/>
      <c r="F5" s="149" t="s">
        <v>63</v>
      </c>
      <c r="G5" s="149"/>
      <c r="H5" s="149"/>
      <c r="I5" s="149" t="s">
        <v>64</v>
      </c>
      <c r="J5" s="149"/>
      <c r="K5" s="149"/>
      <c r="L5" s="149" t="s">
        <v>65</v>
      </c>
      <c r="M5" s="149"/>
      <c r="N5" s="149"/>
      <c r="O5" s="149" t="s">
        <v>66</v>
      </c>
      <c r="P5" s="149"/>
      <c r="Q5" s="149"/>
    </row>
    <row r="6" spans="1:17" s="5" customFormat="1" ht="51.75" customHeight="1">
      <c r="A6" s="150"/>
      <c r="B6" s="155"/>
      <c r="C6" s="7" t="s">
        <v>3</v>
      </c>
      <c r="D6" s="7" t="s">
        <v>134</v>
      </c>
      <c r="E6" s="40" t="s">
        <v>5</v>
      </c>
      <c r="F6" s="7" t="s">
        <v>3</v>
      </c>
      <c r="G6" s="7" t="s">
        <v>134</v>
      </c>
      <c r="H6" s="7" t="s">
        <v>5</v>
      </c>
      <c r="I6" s="7" t="s">
        <v>3</v>
      </c>
      <c r="J6" s="7" t="s">
        <v>134</v>
      </c>
      <c r="K6" s="7" t="s">
        <v>5</v>
      </c>
      <c r="L6" s="7" t="s">
        <v>3</v>
      </c>
      <c r="M6" s="7" t="s">
        <v>134</v>
      </c>
      <c r="N6" s="7" t="s">
        <v>5</v>
      </c>
      <c r="O6" s="7" t="s">
        <v>3</v>
      </c>
      <c r="P6" s="7" t="s">
        <v>134</v>
      </c>
      <c r="Q6" s="7" t="s">
        <v>5</v>
      </c>
    </row>
    <row r="7" spans="1:17" s="5" customFormat="1">
      <c r="A7" s="8">
        <v>1</v>
      </c>
      <c r="B7" s="7">
        <v>2</v>
      </c>
      <c r="C7" s="7">
        <v>3</v>
      </c>
      <c r="D7" s="7">
        <v>4</v>
      </c>
      <c r="E7" s="35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</row>
    <row r="8" spans="1:17" s="5" customFormat="1" ht="30">
      <c r="A8" s="8">
        <v>1</v>
      </c>
      <c r="B8" s="10" t="s">
        <v>67</v>
      </c>
      <c r="C8" s="98">
        <v>11</v>
      </c>
      <c r="D8" s="35">
        <v>11</v>
      </c>
      <c r="E8" s="40">
        <f>(D8-C8)/D8</f>
        <v>0</v>
      </c>
      <c r="F8" s="7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</row>
    <row r="9" spans="1:17" ht="30">
      <c r="A9" s="8" t="s">
        <v>136</v>
      </c>
      <c r="B9" s="11" t="s">
        <v>68</v>
      </c>
      <c r="C9" s="98">
        <v>1</v>
      </c>
      <c r="D9" s="35">
        <v>1</v>
      </c>
      <c r="E9" s="40">
        <f t="shared" ref="E9:E26" si="0">(D9-C9)/D9</f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</row>
    <row r="10" spans="1:17" ht="45">
      <c r="A10" s="8" t="s">
        <v>137</v>
      </c>
      <c r="B10" s="11" t="s">
        <v>69</v>
      </c>
      <c r="C10" s="98">
        <v>9</v>
      </c>
      <c r="D10" s="35">
        <v>9</v>
      </c>
      <c r="E10" s="40">
        <f t="shared" si="0"/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</row>
    <row r="11" spans="1:17" ht="30">
      <c r="A11" s="8" t="s">
        <v>138</v>
      </c>
      <c r="B11" s="11" t="s">
        <v>70</v>
      </c>
      <c r="C11" s="98">
        <v>0</v>
      </c>
      <c r="D11" s="35">
        <v>0</v>
      </c>
      <c r="E11" s="40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</row>
    <row r="12" spans="1:17">
      <c r="A12" s="8" t="s">
        <v>139</v>
      </c>
      <c r="B12" s="11" t="s">
        <v>71</v>
      </c>
      <c r="C12" s="98">
        <v>0</v>
      </c>
      <c r="D12" s="35">
        <v>0</v>
      </c>
      <c r="E12" s="40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</row>
    <row r="13" spans="1:17" ht="30">
      <c r="A13" s="8" t="s">
        <v>140</v>
      </c>
      <c r="B13" s="11" t="s">
        <v>72</v>
      </c>
      <c r="C13" s="98">
        <v>0</v>
      </c>
      <c r="D13" s="35">
        <v>0</v>
      </c>
      <c r="E13" s="40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</row>
    <row r="14" spans="1:17">
      <c r="A14" s="8" t="s">
        <v>141</v>
      </c>
      <c r="B14" s="11" t="s">
        <v>73</v>
      </c>
      <c r="C14" s="98">
        <v>0</v>
      </c>
      <c r="D14" s="35">
        <v>0</v>
      </c>
      <c r="E14" s="40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</row>
    <row r="15" spans="1:17">
      <c r="A15" s="8" t="s">
        <v>142</v>
      </c>
      <c r="B15" s="11" t="s">
        <v>74</v>
      </c>
      <c r="C15" s="98">
        <v>1</v>
      </c>
      <c r="D15" s="35">
        <v>1</v>
      </c>
      <c r="E15" s="40">
        <f t="shared" si="0"/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</row>
    <row r="16" spans="1:17" ht="45">
      <c r="A16" s="8" t="s">
        <v>143</v>
      </c>
      <c r="B16" s="11" t="s">
        <v>75</v>
      </c>
      <c r="C16" s="98">
        <v>1</v>
      </c>
      <c r="D16" s="35">
        <v>1</v>
      </c>
      <c r="E16" s="40">
        <f t="shared" si="0"/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</row>
    <row r="17" spans="1:17" ht="30">
      <c r="A17" s="8" t="s">
        <v>144</v>
      </c>
      <c r="B17" s="11" t="s">
        <v>76</v>
      </c>
      <c r="C17" s="98">
        <v>0</v>
      </c>
      <c r="D17" s="35">
        <v>0</v>
      </c>
      <c r="E17" s="40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</row>
    <row r="18" spans="1:17" ht="30">
      <c r="A18" s="8" t="s">
        <v>145</v>
      </c>
      <c r="B18" s="11" t="s">
        <v>77</v>
      </c>
      <c r="C18" s="98">
        <v>0</v>
      </c>
      <c r="D18" s="35">
        <v>0</v>
      </c>
      <c r="E18" s="40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</row>
    <row r="19" spans="1:17" ht="45">
      <c r="A19" s="8" t="s">
        <v>146</v>
      </c>
      <c r="B19" s="11" t="s">
        <v>69</v>
      </c>
      <c r="C19" s="98">
        <v>0</v>
      </c>
      <c r="D19" s="35">
        <v>0</v>
      </c>
      <c r="E19" s="40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</row>
    <row r="20" spans="1:17" ht="30">
      <c r="A20" s="8" t="s">
        <v>147</v>
      </c>
      <c r="B20" s="11" t="s">
        <v>70</v>
      </c>
      <c r="C20" s="98">
        <v>0</v>
      </c>
      <c r="D20" s="35">
        <v>0</v>
      </c>
      <c r="E20" s="40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</row>
    <row r="21" spans="1:17">
      <c r="A21" s="8" t="s">
        <v>148</v>
      </c>
      <c r="B21" s="11" t="s">
        <v>71</v>
      </c>
      <c r="C21" s="98">
        <v>0</v>
      </c>
      <c r="D21" s="35">
        <v>0</v>
      </c>
      <c r="E21" s="40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</row>
    <row r="22" spans="1:17" ht="45">
      <c r="A22" s="8" t="s">
        <v>149</v>
      </c>
      <c r="B22" s="11" t="s">
        <v>78</v>
      </c>
      <c r="C22" s="98">
        <v>0</v>
      </c>
      <c r="D22" s="35">
        <v>0</v>
      </c>
      <c r="E22" s="40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</row>
    <row r="23" spans="1:17">
      <c r="A23" s="8" t="s">
        <v>150</v>
      </c>
      <c r="B23" s="11" t="s">
        <v>73</v>
      </c>
      <c r="C23" s="98">
        <v>0</v>
      </c>
      <c r="D23" s="35">
        <v>0</v>
      </c>
      <c r="E23" s="40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</row>
    <row r="24" spans="1:17">
      <c r="A24" s="8" t="s">
        <v>152</v>
      </c>
      <c r="B24" s="11" t="s">
        <v>151</v>
      </c>
      <c r="C24" s="98">
        <v>10</v>
      </c>
      <c r="D24" s="35">
        <v>10</v>
      </c>
      <c r="E24" s="40">
        <f t="shared" si="0"/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</row>
    <row r="25" spans="1:17" ht="30">
      <c r="A25" s="8" t="s">
        <v>153</v>
      </c>
      <c r="B25" s="11" t="s">
        <v>26</v>
      </c>
      <c r="C25" s="98">
        <v>9</v>
      </c>
      <c r="D25" s="35">
        <v>9</v>
      </c>
      <c r="E25" s="40">
        <f t="shared" si="0"/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</row>
    <row r="26" spans="1:17" ht="45">
      <c r="A26" s="8" t="s">
        <v>154</v>
      </c>
      <c r="B26" s="11" t="s">
        <v>79</v>
      </c>
      <c r="C26" s="98">
        <v>1</v>
      </c>
      <c r="D26" s="35">
        <v>1</v>
      </c>
      <c r="E26" s="40">
        <f t="shared" si="0"/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</row>
    <row r="27" spans="1:17" ht="45">
      <c r="A27" s="8" t="s">
        <v>155</v>
      </c>
      <c r="B27" s="11" t="s">
        <v>80</v>
      </c>
      <c r="C27" s="98">
        <v>0</v>
      </c>
      <c r="D27" s="35">
        <v>0</v>
      </c>
      <c r="E27" s="40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</row>
    <row r="28" spans="1:17">
      <c r="A28" s="8" t="s">
        <v>156</v>
      </c>
      <c r="B28" s="11" t="s">
        <v>73</v>
      </c>
      <c r="C28" s="98">
        <v>0</v>
      </c>
      <c r="D28" s="35">
        <v>0</v>
      </c>
      <c r="E28" s="40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</row>
    <row r="30" spans="1:17">
      <c r="A30" s="140" t="s">
        <v>81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</row>
    <row r="31" spans="1:17" s="5" customFormat="1" ht="159" customHeight="1">
      <c r="A31" s="8" t="s">
        <v>135</v>
      </c>
      <c r="B31" s="7" t="s">
        <v>82</v>
      </c>
      <c r="C31" s="7" t="s">
        <v>83</v>
      </c>
      <c r="D31" s="7" t="s">
        <v>84</v>
      </c>
      <c r="E31" s="40" t="s">
        <v>85</v>
      </c>
      <c r="F31" s="7" t="s">
        <v>86</v>
      </c>
      <c r="G31" s="7" t="s">
        <v>87</v>
      </c>
      <c r="H31" s="7" t="s">
        <v>88</v>
      </c>
      <c r="I31" s="7" t="s">
        <v>89</v>
      </c>
      <c r="J31" s="7" t="s">
        <v>90</v>
      </c>
      <c r="K31" s="7" t="s">
        <v>91</v>
      </c>
    </row>
    <row r="32" spans="1:17">
      <c r="A32" s="12">
        <v>1</v>
      </c>
      <c r="B32" s="7">
        <v>2</v>
      </c>
      <c r="C32" s="12">
        <v>3</v>
      </c>
      <c r="D32" s="7">
        <v>4</v>
      </c>
      <c r="E32" s="40">
        <v>5</v>
      </c>
      <c r="F32" s="7">
        <v>6</v>
      </c>
      <c r="G32" s="12">
        <v>7</v>
      </c>
      <c r="H32" s="7">
        <v>8</v>
      </c>
      <c r="I32" s="12">
        <v>9</v>
      </c>
      <c r="J32" s="7">
        <v>10</v>
      </c>
      <c r="K32" s="12">
        <v>11</v>
      </c>
    </row>
    <row r="33" spans="1:17" ht="98.25" customHeight="1">
      <c r="A33" s="8" t="s">
        <v>158</v>
      </c>
      <c r="B33" s="156" t="s">
        <v>160</v>
      </c>
      <c r="C33" s="11" t="s">
        <v>209</v>
      </c>
      <c r="D33" s="11" t="s">
        <v>161</v>
      </c>
      <c r="E33" s="41" t="s">
        <v>163</v>
      </c>
      <c r="F33" s="15" t="s">
        <v>208</v>
      </c>
      <c r="G33" s="156" t="s">
        <v>119</v>
      </c>
      <c r="H33" s="7" t="s">
        <v>157</v>
      </c>
      <c r="I33" s="7" t="s">
        <v>157</v>
      </c>
      <c r="J33" s="7" t="s">
        <v>157</v>
      </c>
      <c r="K33" s="7" t="s">
        <v>157</v>
      </c>
    </row>
    <row r="34" spans="1:17" ht="183.75" customHeight="1">
      <c r="A34" s="8" t="s">
        <v>142</v>
      </c>
      <c r="B34" s="157"/>
      <c r="C34" s="11" t="s">
        <v>210</v>
      </c>
      <c r="D34" s="158" t="s">
        <v>211</v>
      </c>
      <c r="E34" s="159"/>
      <c r="F34" s="15" t="s">
        <v>120</v>
      </c>
      <c r="G34" s="157"/>
      <c r="H34" s="7" t="s">
        <v>157</v>
      </c>
      <c r="I34" s="7" t="s">
        <v>157</v>
      </c>
      <c r="J34" s="7" t="s">
        <v>157</v>
      </c>
      <c r="K34" s="7" t="s">
        <v>157</v>
      </c>
    </row>
    <row r="36" spans="1:17">
      <c r="A36" s="140" t="s">
        <v>164</v>
      </c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</row>
    <row r="38" spans="1:17">
      <c r="A38" s="8" t="s">
        <v>135</v>
      </c>
      <c r="B38" s="7" t="s">
        <v>92</v>
      </c>
      <c r="C38" s="11"/>
      <c r="D38" s="11"/>
    </row>
    <row r="39" spans="1:17" ht="135">
      <c r="A39" s="8" t="s">
        <v>158</v>
      </c>
      <c r="B39" s="11" t="s">
        <v>165</v>
      </c>
      <c r="C39" s="11" t="s">
        <v>93</v>
      </c>
      <c r="D39" s="7" t="s">
        <v>162</v>
      </c>
    </row>
    <row r="40" spans="1:17" ht="60">
      <c r="A40" s="8" t="s">
        <v>142</v>
      </c>
      <c r="B40" s="11" t="s">
        <v>166</v>
      </c>
      <c r="C40" s="11" t="s">
        <v>94</v>
      </c>
      <c r="D40" s="7" t="s">
        <v>157</v>
      </c>
    </row>
    <row r="41" spans="1:17" ht="75">
      <c r="A41" s="8" t="s">
        <v>143</v>
      </c>
      <c r="B41" s="11" t="s">
        <v>95</v>
      </c>
      <c r="C41" s="11" t="s">
        <v>94</v>
      </c>
      <c r="D41" s="7" t="s">
        <v>157</v>
      </c>
    </row>
    <row r="42" spans="1:17" ht="90">
      <c r="A42" s="8" t="s">
        <v>146</v>
      </c>
      <c r="B42" s="11" t="s">
        <v>96</v>
      </c>
      <c r="C42" s="11" t="s">
        <v>94</v>
      </c>
      <c r="D42" s="7" t="s">
        <v>157</v>
      </c>
    </row>
    <row r="43" spans="1:17" ht="90">
      <c r="A43" s="8" t="s">
        <v>152</v>
      </c>
      <c r="B43" s="11" t="s">
        <v>97</v>
      </c>
      <c r="C43" s="11" t="s">
        <v>167</v>
      </c>
      <c r="D43" s="7" t="s">
        <v>157</v>
      </c>
    </row>
    <row r="44" spans="1:17" ht="75">
      <c r="A44" s="8" t="s">
        <v>159</v>
      </c>
      <c r="B44" s="11" t="s">
        <v>98</v>
      </c>
      <c r="C44" s="11" t="s">
        <v>167</v>
      </c>
      <c r="D44" s="7" t="s">
        <v>157</v>
      </c>
    </row>
    <row r="46" spans="1:17" s="4" customFormat="1" ht="54" customHeight="1">
      <c r="A46" s="140" t="s">
        <v>168</v>
      </c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</row>
    <row r="47" spans="1:17" ht="15" customHeight="1">
      <c r="A47" s="140" t="s">
        <v>169</v>
      </c>
      <c r="B47" s="140"/>
      <c r="C47" s="140"/>
      <c r="D47" s="140"/>
      <c r="E47" s="140"/>
      <c r="F47" s="140"/>
      <c r="G47" s="140"/>
      <c r="H47" s="140"/>
      <c r="I47" s="140"/>
      <c r="J47" s="140"/>
    </row>
    <row r="49" spans="1:41">
      <c r="A49" s="140" t="s">
        <v>170</v>
      </c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</row>
    <row r="50" spans="1:41" ht="38.25" customHeight="1">
      <c r="A50" s="140" t="s">
        <v>171</v>
      </c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</row>
    <row r="51" spans="1:41">
      <c r="A51" s="152" t="s">
        <v>172</v>
      </c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</row>
    <row r="53" spans="1:41" ht="35.25" customHeight="1">
      <c r="A53" s="151" t="s">
        <v>173</v>
      </c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</row>
    <row r="54" spans="1:41">
      <c r="A54" s="153" t="s">
        <v>174</v>
      </c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</row>
    <row r="56" spans="1:41">
      <c r="A56" s="151" t="s">
        <v>175</v>
      </c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</row>
    <row r="57" spans="1:41">
      <c r="A57" s="152" t="s">
        <v>176</v>
      </c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</row>
    <row r="58" spans="1:41">
      <c r="A58" s="152" t="s">
        <v>177</v>
      </c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</row>
    <row r="60" spans="1:41">
      <c r="A60" s="140" t="s">
        <v>178</v>
      </c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</row>
    <row r="61" spans="1:41" s="5" customFormat="1" ht="39.75" customHeight="1">
      <c r="A61" s="150" t="s">
        <v>135</v>
      </c>
      <c r="B61" s="149" t="s">
        <v>179</v>
      </c>
      <c r="C61" s="149" t="s">
        <v>180</v>
      </c>
      <c r="D61" s="149" t="s">
        <v>181</v>
      </c>
      <c r="E61" s="149" t="s">
        <v>182</v>
      </c>
      <c r="F61" s="149"/>
      <c r="G61" s="149"/>
      <c r="H61" s="149"/>
      <c r="I61" s="149" t="s">
        <v>187</v>
      </c>
      <c r="J61" s="149"/>
      <c r="K61" s="149"/>
      <c r="L61" s="149"/>
      <c r="M61" s="149"/>
      <c r="N61" s="149"/>
      <c r="O61" s="149" t="s">
        <v>193</v>
      </c>
      <c r="P61" s="149"/>
      <c r="Q61" s="149"/>
      <c r="R61" s="149"/>
      <c r="S61" s="149"/>
      <c r="T61" s="149"/>
      <c r="U61" s="149"/>
      <c r="V61" s="149" t="s">
        <v>197</v>
      </c>
      <c r="W61" s="149"/>
      <c r="X61" s="149"/>
      <c r="Y61" s="149"/>
      <c r="Z61" s="149" t="s">
        <v>201</v>
      </c>
      <c r="AA61" s="149"/>
      <c r="AB61" s="149"/>
      <c r="AC61" s="149" t="s">
        <v>205</v>
      </c>
      <c r="AD61" s="149"/>
    </row>
    <row r="62" spans="1:41" s="5" customFormat="1" ht="211.5" customHeight="1">
      <c r="A62" s="150"/>
      <c r="B62" s="149"/>
      <c r="C62" s="149"/>
      <c r="D62" s="149"/>
      <c r="E62" s="13" t="s">
        <v>183</v>
      </c>
      <c r="F62" s="13" t="s">
        <v>184</v>
      </c>
      <c r="G62" s="13" t="s">
        <v>185</v>
      </c>
      <c r="H62" s="13" t="s">
        <v>186</v>
      </c>
      <c r="I62" s="13" t="s">
        <v>188</v>
      </c>
      <c r="J62" s="13" t="s">
        <v>189</v>
      </c>
      <c r="K62" s="13" t="s">
        <v>190</v>
      </c>
      <c r="L62" s="13" t="s">
        <v>191</v>
      </c>
      <c r="M62" s="13" t="s">
        <v>192</v>
      </c>
      <c r="N62" s="13" t="s">
        <v>66</v>
      </c>
      <c r="O62" s="13" t="s">
        <v>194</v>
      </c>
      <c r="P62" s="13" t="s">
        <v>195</v>
      </c>
      <c r="Q62" s="13" t="s">
        <v>196</v>
      </c>
      <c r="R62" s="13" t="s">
        <v>190</v>
      </c>
      <c r="S62" s="13" t="s">
        <v>191</v>
      </c>
      <c r="T62" s="13" t="s">
        <v>192</v>
      </c>
      <c r="U62" s="13" t="s">
        <v>66</v>
      </c>
      <c r="V62" s="13" t="s">
        <v>198</v>
      </c>
      <c r="W62" s="13" t="s">
        <v>199</v>
      </c>
      <c r="X62" s="13" t="s">
        <v>200</v>
      </c>
      <c r="Y62" s="13" t="s">
        <v>66</v>
      </c>
      <c r="Z62" s="13" t="s">
        <v>202</v>
      </c>
      <c r="AA62" s="13" t="s">
        <v>203</v>
      </c>
      <c r="AB62" s="13" t="s">
        <v>204</v>
      </c>
      <c r="AC62" s="13" t="s">
        <v>206</v>
      </c>
      <c r="AD62" s="13" t="s">
        <v>207</v>
      </c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</row>
    <row r="63" spans="1:41">
      <c r="A63" s="12">
        <v>1</v>
      </c>
      <c r="B63" s="7">
        <v>2</v>
      </c>
      <c r="C63" s="12">
        <v>3</v>
      </c>
      <c r="D63" s="7">
        <v>4</v>
      </c>
      <c r="E63" s="12">
        <v>5</v>
      </c>
      <c r="F63" s="7">
        <v>6</v>
      </c>
      <c r="G63" s="12">
        <v>7</v>
      </c>
      <c r="H63" s="7">
        <v>8</v>
      </c>
      <c r="I63" s="12">
        <v>9</v>
      </c>
      <c r="J63" s="7">
        <v>10</v>
      </c>
      <c r="K63" s="12">
        <v>11</v>
      </c>
      <c r="L63" s="7">
        <v>12</v>
      </c>
      <c r="M63" s="12">
        <v>13</v>
      </c>
      <c r="N63" s="7">
        <v>14</v>
      </c>
      <c r="O63" s="12">
        <v>15</v>
      </c>
      <c r="P63" s="7">
        <v>16</v>
      </c>
      <c r="Q63" s="12">
        <v>17</v>
      </c>
      <c r="R63" s="7">
        <v>18</v>
      </c>
      <c r="S63" s="12">
        <v>19</v>
      </c>
      <c r="T63" s="7">
        <v>20</v>
      </c>
      <c r="U63" s="12">
        <v>21</v>
      </c>
      <c r="V63" s="7">
        <v>22</v>
      </c>
      <c r="W63" s="12">
        <v>23</v>
      </c>
      <c r="X63" s="7">
        <v>24</v>
      </c>
      <c r="Y63" s="12">
        <v>25</v>
      </c>
      <c r="Z63" s="7">
        <v>26</v>
      </c>
      <c r="AA63" s="12">
        <v>27</v>
      </c>
      <c r="AB63" s="7">
        <v>28</v>
      </c>
      <c r="AC63" s="12">
        <v>29</v>
      </c>
      <c r="AD63" s="7">
        <v>30</v>
      </c>
    </row>
    <row r="64" spans="1:41" ht="30">
      <c r="A64" s="12"/>
      <c r="B64" s="35" t="s">
        <v>260</v>
      </c>
      <c r="C64" s="32">
        <v>42419</v>
      </c>
      <c r="D64" s="31" t="s">
        <v>251</v>
      </c>
      <c r="E64" s="40" t="s">
        <v>252</v>
      </c>
      <c r="F64" s="31" t="s">
        <v>157</v>
      </c>
      <c r="G64" s="31" t="s">
        <v>157</v>
      </c>
      <c r="H64" s="31" t="s">
        <v>157</v>
      </c>
      <c r="I64" s="31" t="s">
        <v>157</v>
      </c>
      <c r="J64" s="31" t="s">
        <v>252</v>
      </c>
      <c r="K64" s="12" t="s">
        <v>157</v>
      </c>
      <c r="L64" s="12" t="s">
        <v>157</v>
      </c>
      <c r="M64" s="12" t="s">
        <v>157</v>
      </c>
      <c r="N64" s="12" t="s">
        <v>157</v>
      </c>
      <c r="O64" s="12" t="s">
        <v>157</v>
      </c>
      <c r="P64" s="12" t="s">
        <v>157</v>
      </c>
      <c r="Q64" s="12" t="s">
        <v>157</v>
      </c>
      <c r="R64" s="12" t="s">
        <v>157</v>
      </c>
      <c r="S64" s="12" t="s">
        <v>157</v>
      </c>
      <c r="T64" s="12" t="s">
        <v>157</v>
      </c>
      <c r="U64" s="12" t="s">
        <v>157</v>
      </c>
      <c r="V64" s="31" t="s">
        <v>252</v>
      </c>
      <c r="W64" s="12" t="s">
        <v>157</v>
      </c>
      <c r="X64" s="12" t="s">
        <v>157</v>
      </c>
      <c r="Y64" s="12" t="s">
        <v>157</v>
      </c>
      <c r="Z64" s="31" t="s">
        <v>253</v>
      </c>
      <c r="AA64" s="12" t="s">
        <v>157</v>
      </c>
      <c r="AB64" s="12" t="s">
        <v>157</v>
      </c>
      <c r="AC64" s="12" t="s">
        <v>252</v>
      </c>
      <c r="AD64" s="31" t="s">
        <v>157</v>
      </c>
    </row>
    <row r="65" spans="1:30" ht="30">
      <c r="A65" s="12"/>
      <c r="B65" s="35" t="s">
        <v>261</v>
      </c>
      <c r="C65" s="32">
        <v>42450</v>
      </c>
      <c r="D65" s="31" t="s">
        <v>251</v>
      </c>
      <c r="E65" s="40" t="s">
        <v>252</v>
      </c>
      <c r="F65" s="31" t="s">
        <v>157</v>
      </c>
      <c r="G65" s="31" t="s">
        <v>157</v>
      </c>
      <c r="H65" s="31" t="s">
        <v>157</v>
      </c>
      <c r="I65" s="31" t="s">
        <v>157</v>
      </c>
      <c r="J65" s="31" t="s">
        <v>252</v>
      </c>
      <c r="K65" s="12" t="s">
        <v>157</v>
      </c>
      <c r="L65" s="12" t="s">
        <v>157</v>
      </c>
      <c r="M65" s="12" t="s">
        <v>157</v>
      </c>
      <c r="N65" s="12" t="s">
        <v>157</v>
      </c>
      <c r="O65" s="12" t="s">
        <v>157</v>
      </c>
      <c r="P65" s="12" t="s">
        <v>157</v>
      </c>
      <c r="Q65" s="12" t="s">
        <v>157</v>
      </c>
      <c r="R65" s="12" t="s">
        <v>157</v>
      </c>
      <c r="S65" s="12" t="s">
        <v>157</v>
      </c>
      <c r="T65" s="12" t="s">
        <v>157</v>
      </c>
      <c r="U65" s="12" t="s">
        <v>157</v>
      </c>
      <c r="V65" s="31" t="s">
        <v>252</v>
      </c>
      <c r="W65" s="12" t="s">
        <v>157</v>
      </c>
      <c r="X65" s="12" t="s">
        <v>157</v>
      </c>
      <c r="Y65" s="12" t="s">
        <v>157</v>
      </c>
      <c r="Z65" s="31" t="s">
        <v>253</v>
      </c>
      <c r="AA65" s="12" t="s">
        <v>157</v>
      </c>
      <c r="AB65" s="12" t="s">
        <v>157</v>
      </c>
      <c r="AC65" s="12" t="s">
        <v>252</v>
      </c>
      <c r="AD65" s="31" t="s">
        <v>157</v>
      </c>
    </row>
    <row r="66" spans="1:30" ht="30">
      <c r="A66" s="12"/>
      <c r="B66" s="35" t="s">
        <v>262</v>
      </c>
      <c r="C66" s="32">
        <v>42451</v>
      </c>
      <c r="D66" s="31" t="s">
        <v>251</v>
      </c>
      <c r="E66" s="40" t="s">
        <v>252</v>
      </c>
      <c r="F66" s="31" t="s">
        <v>157</v>
      </c>
      <c r="G66" s="31" t="s">
        <v>157</v>
      </c>
      <c r="H66" s="31" t="s">
        <v>157</v>
      </c>
      <c r="I66" s="31" t="s">
        <v>157</v>
      </c>
      <c r="J66" s="31" t="s">
        <v>252</v>
      </c>
      <c r="K66" s="12" t="s">
        <v>157</v>
      </c>
      <c r="L66" s="12" t="s">
        <v>157</v>
      </c>
      <c r="M66" s="12" t="s">
        <v>157</v>
      </c>
      <c r="N66" s="12" t="s">
        <v>157</v>
      </c>
      <c r="O66" s="12" t="s">
        <v>157</v>
      </c>
      <c r="P66" s="12" t="s">
        <v>157</v>
      </c>
      <c r="Q66" s="12" t="s">
        <v>157</v>
      </c>
      <c r="R66" s="12" t="s">
        <v>157</v>
      </c>
      <c r="S66" s="12" t="s">
        <v>157</v>
      </c>
      <c r="T66" s="12" t="s">
        <v>157</v>
      </c>
      <c r="U66" s="12" t="s">
        <v>157</v>
      </c>
      <c r="V66" s="31" t="s">
        <v>252</v>
      </c>
      <c r="W66" s="12" t="s">
        <v>157</v>
      </c>
      <c r="X66" s="12" t="s">
        <v>157</v>
      </c>
      <c r="Y66" s="12" t="s">
        <v>157</v>
      </c>
      <c r="Z66" s="31" t="s">
        <v>253</v>
      </c>
      <c r="AA66" s="12" t="s">
        <v>157</v>
      </c>
      <c r="AB66" s="12" t="s">
        <v>157</v>
      </c>
      <c r="AC66" s="12" t="s">
        <v>252</v>
      </c>
      <c r="AD66" s="31" t="s">
        <v>157</v>
      </c>
    </row>
    <row r="67" spans="1:30" ht="30">
      <c r="A67" s="12"/>
      <c r="B67" s="35" t="s">
        <v>263</v>
      </c>
      <c r="C67" s="32">
        <v>42552</v>
      </c>
      <c r="D67" s="31" t="s">
        <v>251</v>
      </c>
      <c r="E67" s="40" t="s">
        <v>252</v>
      </c>
      <c r="F67" s="31" t="s">
        <v>157</v>
      </c>
      <c r="G67" s="31" t="s">
        <v>157</v>
      </c>
      <c r="H67" s="31" t="s">
        <v>157</v>
      </c>
      <c r="I67" s="31" t="s">
        <v>157</v>
      </c>
      <c r="J67" s="31" t="s">
        <v>252</v>
      </c>
      <c r="K67" s="12" t="s">
        <v>157</v>
      </c>
      <c r="L67" s="12" t="s">
        <v>157</v>
      </c>
      <c r="M67" s="12" t="s">
        <v>157</v>
      </c>
      <c r="N67" s="12" t="s">
        <v>157</v>
      </c>
      <c r="O67" s="12" t="s">
        <v>157</v>
      </c>
      <c r="P67" s="12" t="s">
        <v>157</v>
      </c>
      <c r="Q67" s="12" t="s">
        <v>157</v>
      </c>
      <c r="R67" s="12" t="s">
        <v>157</v>
      </c>
      <c r="S67" s="12" t="s">
        <v>157</v>
      </c>
      <c r="T67" s="12" t="s">
        <v>157</v>
      </c>
      <c r="U67" s="12" t="s">
        <v>157</v>
      </c>
      <c r="V67" s="31" t="s">
        <v>252</v>
      </c>
      <c r="W67" s="12" t="s">
        <v>157</v>
      </c>
      <c r="X67" s="12" t="s">
        <v>157</v>
      </c>
      <c r="Y67" s="12" t="s">
        <v>157</v>
      </c>
      <c r="Z67" s="31" t="s">
        <v>253</v>
      </c>
      <c r="AA67" s="12" t="s">
        <v>157</v>
      </c>
      <c r="AB67" s="12" t="s">
        <v>157</v>
      </c>
      <c r="AC67" s="12" t="s">
        <v>252</v>
      </c>
      <c r="AD67" s="31" t="s">
        <v>157</v>
      </c>
    </row>
    <row r="68" spans="1:30" ht="30">
      <c r="A68" s="12"/>
      <c r="B68" s="35" t="s">
        <v>264</v>
      </c>
      <c r="C68" s="32">
        <v>42576</v>
      </c>
      <c r="D68" s="31" t="s">
        <v>251</v>
      </c>
      <c r="E68" s="40" t="s">
        <v>252</v>
      </c>
      <c r="F68" s="31" t="s">
        <v>157</v>
      </c>
      <c r="G68" s="31" t="s">
        <v>157</v>
      </c>
      <c r="H68" s="31" t="s">
        <v>157</v>
      </c>
      <c r="I68" s="31" t="s">
        <v>157</v>
      </c>
      <c r="J68" s="31" t="s">
        <v>252</v>
      </c>
      <c r="K68" s="12" t="s">
        <v>157</v>
      </c>
      <c r="L68" s="12" t="s">
        <v>157</v>
      </c>
      <c r="M68" s="12" t="s">
        <v>157</v>
      </c>
      <c r="N68" s="12" t="s">
        <v>157</v>
      </c>
      <c r="O68" s="12" t="s">
        <v>157</v>
      </c>
      <c r="P68" s="12" t="s">
        <v>157</v>
      </c>
      <c r="Q68" s="12" t="s">
        <v>157</v>
      </c>
      <c r="R68" s="12" t="s">
        <v>157</v>
      </c>
      <c r="S68" s="12" t="s">
        <v>157</v>
      </c>
      <c r="T68" s="12" t="s">
        <v>157</v>
      </c>
      <c r="U68" s="12" t="s">
        <v>157</v>
      </c>
      <c r="V68" s="31" t="s">
        <v>252</v>
      </c>
      <c r="W68" s="12" t="s">
        <v>157</v>
      </c>
      <c r="X68" s="12" t="s">
        <v>157</v>
      </c>
      <c r="Y68" s="12" t="s">
        <v>157</v>
      </c>
      <c r="Z68" s="31" t="s">
        <v>253</v>
      </c>
      <c r="AA68" s="12" t="s">
        <v>157</v>
      </c>
      <c r="AB68" s="12" t="s">
        <v>157</v>
      </c>
      <c r="AC68" s="12" t="s">
        <v>252</v>
      </c>
      <c r="AD68" s="31" t="s">
        <v>157</v>
      </c>
    </row>
    <row r="69" spans="1:30" ht="30">
      <c r="A69" s="12"/>
      <c r="B69" s="35" t="s">
        <v>265</v>
      </c>
      <c r="C69" s="32">
        <v>42576</v>
      </c>
      <c r="D69" s="35" t="s">
        <v>251</v>
      </c>
      <c r="E69" s="40" t="s">
        <v>252</v>
      </c>
      <c r="F69" s="35" t="s">
        <v>157</v>
      </c>
      <c r="G69" s="35" t="s">
        <v>157</v>
      </c>
      <c r="H69" s="35" t="s">
        <v>157</v>
      </c>
      <c r="I69" s="35" t="s">
        <v>157</v>
      </c>
      <c r="J69" s="35" t="s">
        <v>252</v>
      </c>
      <c r="K69" s="12" t="s">
        <v>157</v>
      </c>
      <c r="L69" s="12" t="s">
        <v>157</v>
      </c>
      <c r="M69" s="12" t="s">
        <v>157</v>
      </c>
      <c r="N69" s="12" t="s">
        <v>157</v>
      </c>
      <c r="O69" s="12" t="s">
        <v>157</v>
      </c>
      <c r="P69" s="12" t="s">
        <v>157</v>
      </c>
      <c r="Q69" s="12" t="s">
        <v>157</v>
      </c>
      <c r="R69" s="12" t="s">
        <v>157</v>
      </c>
      <c r="S69" s="12" t="s">
        <v>157</v>
      </c>
      <c r="T69" s="12" t="s">
        <v>157</v>
      </c>
      <c r="U69" s="12" t="s">
        <v>157</v>
      </c>
      <c r="V69" s="35" t="s">
        <v>252</v>
      </c>
      <c r="W69" s="12" t="s">
        <v>157</v>
      </c>
      <c r="X69" s="12" t="s">
        <v>157</v>
      </c>
      <c r="Y69" s="12" t="s">
        <v>157</v>
      </c>
      <c r="Z69" s="35" t="s">
        <v>253</v>
      </c>
      <c r="AA69" s="12" t="s">
        <v>157</v>
      </c>
      <c r="AB69" s="12" t="s">
        <v>157</v>
      </c>
      <c r="AC69" s="12" t="s">
        <v>252</v>
      </c>
      <c r="AD69" s="35" t="s">
        <v>157</v>
      </c>
    </row>
    <row r="70" spans="1:30" ht="30">
      <c r="A70" s="12"/>
      <c r="B70" s="35" t="s">
        <v>266</v>
      </c>
      <c r="C70" s="32">
        <v>42604</v>
      </c>
      <c r="D70" s="35" t="s">
        <v>251</v>
      </c>
      <c r="E70" s="40" t="s">
        <v>252</v>
      </c>
      <c r="F70" s="35" t="s">
        <v>157</v>
      </c>
      <c r="G70" s="35" t="s">
        <v>157</v>
      </c>
      <c r="H70" s="35" t="s">
        <v>157</v>
      </c>
      <c r="I70" s="35" t="s">
        <v>157</v>
      </c>
      <c r="J70" s="35" t="s">
        <v>252</v>
      </c>
      <c r="K70" s="12" t="s">
        <v>157</v>
      </c>
      <c r="L70" s="12" t="s">
        <v>157</v>
      </c>
      <c r="M70" s="12" t="s">
        <v>157</v>
      </c>
      <c r="N70" s="12" t="s">
        <v>157</v>
      </c>
      <c r="O70" s="12" t="s">
        <v>157</v>
      </c>
      <c r="P70" s="12" t="s">
        <v>157</v>
      </c>
      <c r="Q70" s="12" t="s">
        <v>157</v>
      </c>
      <c r="R70" s="12" t="s">
        <v>157</v>
      </c>
      <c r="S70" s="12" t="s">
        <v>157</v>
      </c>
      <c r="T70" s="12" t="s">
        <v>157</v>
      </c>
      <c r="U70" s="12" t="s">
        <v>157</v>
      </c>
      <c r="V70" s="35" t="s">
        <v>252</v>
      </c>
      <c r="W70" s="12" t="s">
        <v>157</v>
      </c>
      <c r="X70" s="12" t="s">
        <v>157</v>
      </c>
      <c r="Y70" s="12" t="s">
        <v>157</v>
      </c>
      <c r="Z70" s="35" t="s">
        <v>253</v>
      </c>
      <c r="AA70" s="12" t="s">
        <v>157</v>
      </c>
      <c r="AB70" s="12" t="s">
        <v>157</v>
      </c>
      <c r="AC70" s="12" t="s">
        <v>252</v>
      </c>
      <c r="AD70" s="35" t="s">
        <v>157</v>
      </c>
    </row>
    <row r="71" spans="1:30" ht="30">
      <c r="A71" s="12"/>
      <c r="B71" s="35" t="s">
        <v>267</v>
      </c>
      <c r="C71" s="32">
        <v>42636</v>
      </c>
      <c r="D71" s="35" t="s">
        <v>251</v>
      </c>
      <c r="E71" s="40" t="s">
        <v>252</v>
      </c>
      <c r="F71" s="35" t="s">
        <v>157</v>
      </c>
      <c r="G71" s="35" t="s">
        <v>157</v>
      </c>
      <c r="H71" s="35" t="s">
        <v>157</v>
      </c>
      <c r="I71" s="35" t="s">
        <v>157</v>
      </c>
      <c r="J71" s="35" t="s">
        <v>252</v>
      </c>
      <c r="K71" s="12" t="s">
        <v>157</v>
      </c>
      <c r="L71" s="12" t="s">
        <v>157</v>
      </c>
      <c r="M71" s="12" t="s">
        <v>157</v>
      </c>
      <c r="N71" s="12" t="s">
        <v>157</v>
      </c>
      <c r="O71" s="12" t="s">
        <v>157</v>
      </c>
      <c r="P71" s="12" t="s">
        <v>157</v>
      </c>
      <c r="Q71" s="12" t="s">
        <v>157</v>
      </c>
      <c r="R71" s="12" t="s">
        <v>157</v>
      </c>
      <c r="S71" s="12" t="s">
        <v>157</v>
      </c>
      <c r="T71" s="12" t="s">
        <v>157</v>
      </c>
      <c r="U71" s="12" t="s">
        <v>157</v>
      </c>
      <c r="V71" s="35" t="s">
        <v>252</v>
      </c>
      <c r="W71" s="12" t="s">
        <v>157</v>
      </c>
      <c r="X71" s="12" t="s">
        <v>157</v>
      </c>
      <c r="Y71" s="12" t="s">
        <v>157</v>
      </c>
      <c r="Z71" s="35" t="s">
        <v>253</v>
      </c>
      <c r="AA71" s="12" t="s">
        <v>157</v>
      </c>
      <c r="AB71" s="12" t="s">
        <v>157</v>
      </c>
      <c r="AC71" s="12" t="s">
        <v>252</v>
      </c>
      <c r="AD71" s="35" t="s">
        <v>157</v>
      </c>
    </row>
    <row r="72" spans="1:30" ht="30">
      <c r="A72" s="12"/>
      <c r="B72" s="35" t="s">
        <v>268</v>
      </c>
      <c r="C72" s="32">
        <v>42671</v>
      </c>
      <c r="D72" s="35" t="s">
        <v>251</v>
      </c>
      <c r="E72" s="40" t="s">
        <v>252</v>
      </c>
      <c r="F72" s="35" t="s">
        <v>157</v>
      </c>
      <c r="G72" s="35" t="s">
        <v>157</v>
      </c>
      <c r="H72" s="35" t="s">
        <v>157</v>
      </c>
      <c r="I72" s="35" t="s">
        <v>157</v>
      </c>
      <c r="J72" s="35" t="s">
        <v>252</v>
      </c>
      <c r="K72" s="12" t="s">
        <v>157</v>
      </c>
      <c r="L72" s="12" t="s">
        <v>157</v>
      </c>
      <c r="M72" s="12" t="s">
        <v>157</v>
      </c>
      <c r="N72" s="12" t="s">
        <v>157</v>
      </c>
      <c r="O72" s="12" t="s">
        <v>157</v>
      </c>
      <c r="P72" s="12" t="s">
        <v>157</v>
      </c>
      <c r="Q72" s="12" t="s">
        <v>157</v>
      </c>
      <c r="R72" s="12" t="s">
        <v>157</v>
      </c>
      <c r="S72" s="12" t="s">
        <v>157</v>
      </c>
      <c r="T72" s="12" t="s">
        <v>157</v>
      </c>
      <c r="U72" s="12" t="s">
        <v>157</v>
      </c>
      <c r="V72" s="35" t="s">
        <v>252</v>
      </c>
      <c r="W72" s="12" t="s">
        <v>157</v>
      </c>
      <c r="X72" s="12" t="s">
        <v>157</v>
      </c>
      <c r="Y72" s="12" t="s">
        <v>157</v>
      </c>
      <c r="Z72" s="35" t="s">
        <v>253</v>
      </c>
      <c r="AA72" s="12" t="s">
        <v>157</v>
      </c>
      <c r="AB72" s="12" t="s">
        <v>157</v>
      </c>
      <c r="AC72" s="12" t="s">
        <v>252</v>
      </c>
      <c r="AD72" s="35" t="s">
        <v>157</v>
      </c>
    </row>
  </sheetData>
  <mergeCells count="36">
    <mergeCell ref="A30:Q30"/>
    <mergeCell ref="A36:Q36"/>
    <mergeCell ref="A46:O46"/>
    <mergeCell ref="A1:Q1"/>
    <mergeCell ref="A3:Q3"/>
    <mergeCell ref="C4:Q4"/>
    <mergeCell ref="C5:E5"/>
    <mergeCell ref="F5:H5"/>
    <mergeCell ref="I5:K5"/>
    <mergeCell ref="L5:N5"/>
    <mergeCell ref="O5:Q5"/>
    <mergeCell ref="B4:B6"/>
    <mergeCell ref="A4:A6"/>
    <mergeCell ref="B33:B34"/>
    <mergeCell ref="G33:G34"/>
    <mergeCell ref="D34:E34"/>
    <mergeCell ref="A56:O56"/>
    <mergeCell ref="A47:J47"/>
    <mergeCell ref="A57:O57"/>
    <mergeCell ref="A58:O58"/>
    <mergeCell ref="A60:Q60"/>
    <mergeCell ref="A49:O49"/>
    <mergeCell ref="A50:O50"/>
    <mergeCell ref="A51:O51"/>
    <mergeCell ref="A53:O53"/>
    <mergeCell ref="A54:O54"/>
    <mergeCell ref="AC61:AD61"/>
    <mergeCell ref="E61:H61"/>
    <mergeCell ref="A61:A62"/>
    <mergeCell ref="B61:B62"/>
    <mergeCell ref="C61:C62"/>
    <mergeCell ref="D61:D62"/>
    <mergeCell ref="I61:N61"/>
    <mergeCell ref="O61:U61"/>
    <mergeCell ref="V61:Y61"/>
    <mergeCell ref="Z61:AB61"/>
  </mergeCells>
  <pageMargins left="0.7" right="0.7" top="0.75" bottom="0.75" header="0.3" footer="0.3"/>
  <pageSetup paperSize="9" scale="34" orientation="landscape" r:id="rId1"/>
  <rowBreaks count="1" manualBreakCount="1">
    <brk id="35" max="16383" man="1"/>
  </rowBreaks>
  <ignoredErrors>
    <ignoredError sqref="A15 A24 A33 A43:A44" numberStoredAsText="1"/>
    <ignoredError sqref="A17:A18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1 Общ. инфор.</vt:lpstr>
      <vt:lpstr>2 Показат. кач. передача</vt:lpstr>
      <vt:lpstr>3 Показатели кач. тех. прис.</vt:lpstr>
      <vt:lpstr>4 Качество обслуживания</vt:lpstr>
      <vt:lpstr>'1 Общ. инфор.'!Область_печати</vt:lpstr>
      <vt:lpstr>'2 Показат. кач. передача'!Область_печати</vt:lpstr>
      <vt:lpstr>'3 Показатели кач. тех. прис.'!Область_печати</vt:lpstr>
      <vt:lpstr>'4 Качество обслуживания'!Область_печати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2017-04-10T07:41:54Z</dcterms:modified>
</cp:coreProperties>
</file>