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86" activeTab="2"/>
  </bookViews>
  <sheets>
    <sheet name="1 Общ. инфор." sheetId="8" r:id="rId1"/>
    <sheet name="2 Показат. кач. передача" sheetId="1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1">'2 Показат. кач. передача'!$A$1:$T$52</definedName>
    <definedName name="_xlnm.Print_Area" localSheetId="2">'3 Показатели кач. тех. прис.'!$A$1:$R$54</definedName>
  </definedNames>
  <calcPr calcId="124519"/>
</workbook>
</file>

<file path=xl/calcChain.xml><?xml version="1.0" encoding="utf-8"?>
<calcChain xmlns="http://schemas.openxmlformats.org/spreadsheetml/2006/main">
  <c r="L52" i="3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F50"/>
  <c r="E50"/>
  <c r="L49"/>
  <c r="K49"/>
  <c r="J49"/>
  <c r="I49"/>
  <c r="H49"/>
  <c r="G49"/>
  <c r="F49"/>
  <c r="E49"/>
  <c r="L48"/>
  <c r="K48"/>
  <c r="J48"/>
  <c r="I48"/>
  <c r="H48"/>
  <c r="G48"/>
  <c r="F48"/>
  <c r="E48"/>
  <c r="L47"/>
  <c r="K47"/>
  <c r="J47"/>
  <c r="I47"/>
  <c r="H47"/>
  <c r="G47"/>
  <c r="F47"/>
  <c r="E47"/>
  <c r="L46"/>
  <c r="K46"/>
  <c r="J46"/>
  <c r="I46"/>
  <c r="H46"/>
  <c r="G46"/>
  <c r="F46"/>
  <c r="E46"/>
  <c r="L45"/>
  <c r="K45"/>
  <c r="J45"/>
  <c r="I45"/>
  <c r="H45"/>
  <c r="G45"/>
  <c r="F45"/>
  <c r="E45"/>
  <c r="L44"/>
  <c r="K44"/>
  <c r="J44"/>
  <c r="I44"/>
  <c r="H44"/>
  <c r="G44"/>
  <c r="F44"/>
  <c r="E44"/>
  <c r="L43"/>
  <c r="K43"/>
  <c r="J43"/>
  <c r="I43"/>
  <c r="H43"/>
  <c r="G43"/>
  <c r="F43"/>
  <c r="E43"/>
  <c r="L42"/>
  <c r="K42"/>
  <c r="J42"/>
  <c r="I42"/>
  <c r="H42"/>
  <c r="G42"/>
  <c r="F42"/>
  <c r="E42"/>
  <c r="L41"/>
  <c r="K41"/>
  <c r="J41"/>
  <c r="I41"/>
  <c r="H41"/>
  <c r="G41"/>
  <c r="F41"/>
  <c r="E41"/>
  <c r="L40"/>
  <c r="K40"/>
  <c r="J40"/>
  <c r="I40"/>
  <c r="H40"/>
  <c r="G40"/>
  <c r="E40"/>
  <c r="L39"/>
  <c r="K39"/>
  <c r="J39"/>
  <c r="I39"/>
  <c r="H39"/>
  <c r="G39"/>
  <c r="E39"/>
  <c r="L38"/>
  <c r="K38"/>
  <c r="J38"/>
  <c r="I38"/>
  <c r="H38"/>
  <c r="G38"/>
  <c r="E38"/>
  <c r="L37"/>
  <c r="K37"/>
  <c r="J37"/>
  <c r="I37"/>
  <c r="H37"/>
  <c r="G37"/>
  <c r="E37"/>
  <c r="L36"/>
  <c r="K36"/>
  <c r="J36"/>
  <c r="I36"/>
  <c r="H36"/>
  <c r="G36"/>
  <c r="E36"/>
  <c r="L35"/>
  <c r="K35"/>
  <c r="J35"/>
  <c r="I35"/>
  <c r="H35"/>
  <c r="G35"/>
  <c r="E35"/>
  <c r="L34"/>
  <c r="K34"/>
  <c r="J34"/>
  <c r="I34"/>
  <c r="H34"/>
  <c r="G34"/>
  <c r="E34"/>
  <c r="L33"/>
  <c r="K33"/>
  <c r="J33"/>
  <c r="I33"/>
  <c r="H33"/>
  <c r="G33"/>
  <c r="E33"/>
  <c r="D11" i="1"/>
  <c r="C11"/>
</calcChain>
</file>

<file path=xl/sharedStrings.xml><?xml version="1.0" encoding="utf-8"?>
<sst xmlns="http://schemas.openxmlformats.org/spreadsheetml/2006/main" count="882" uniqueCount="265">
  <si>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</si>
  <si>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</si>
  <si>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</si>
  <si>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</si>
  <si>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</si>
  <si>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</si>
  <si>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</si>
  <si>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</si>
  <si>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</si>
  <si>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</si>
  <si>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</si>
  <si>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</si>
  <si>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</si>
  <si>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</si>
  <si>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</si>
  <si>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</si>
  <si>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</si>
  <si>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</si>
  <si>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</si>
  <si>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</si>
  <si>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</si>
  <si>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</si>
  <si>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</si>
  <si>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</si>
  <si>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</si>
  <si>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</si>
  <si>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</si>
  <si>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</si>
  <si>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</si>
  <si>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</si>
  <si>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</si>
  <si>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</si>
  <si>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</si>
  <si>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</si>
  <si>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</si>
  <si>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</si>
  <si>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</si>
  <si>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</si>
  <si>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</si>
  <si>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</si>
  <si>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</si>
  <si>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</si>
  <si>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</si>
  <si>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</si>
  <si>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</si>
  <si>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</si>
  <si>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</si>
  <si>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</si>
  <si>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</si>
  <si>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</si>
  <si>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</si>
  <si>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</si>
  <si>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</si>
  <si>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</si>
  <si>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</si>
  <si>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</si>
  <si>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</si>
  <si>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</si>
  <si>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</si>
  <si>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</si>
  <si>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</si>
  <si>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</si>
  <si>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</si>
  <si>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</si>
  <si>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</si>
  <si>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</si>
  <si>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</si>
  <si>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</si>
  <si>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</si>
  <si>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</si>
  <si>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</si>
  <si>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</si>
  <si>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</si>
  <si>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</si>
  <si>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</si>
  <si>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</si>
  <si>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</si>
  <si>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</si>
  <si>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</si>
  <si>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</si>
  <si>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</si>
  <si>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</si>
  <si>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</si>
  <si>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</si>
  <si>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</si>
  <si>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</si>
  <si>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</si>
  <si>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</si>
  <si>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</si>
  <si>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</si>
  <si>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</si>
  <si>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</si>
  <si>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</si>
  <si>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</si>
  <si>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</si>
  <si>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</si>
  <si>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</si>
  <si>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</si>
  <si>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</si>
  <si>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</si>
  <si>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</si>
  <si>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</si>
  <si>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</si>
  <si>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</si>
  <si>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</si>
  <si>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</si>
  <si>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</si>
  <si>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</si>
  <si>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</si>
  <si>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</si>
  <si>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</si>
  <si>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</si>
  <si>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</si>
  <si>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</si>
  <si>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</si>
  <si>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</si>
  <si>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</si>
  <si>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</si>
  <si>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</si>
  <si>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</si>
  <si>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</si>
  <si>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</si>
  <si>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</si>
  <si>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</si>
  <si>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</si>
  <si>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theme="1"/>
        <rFont val="Times New Roman"/>
        <family val="1"/>
        <charset val="204"/>
      </rPr>
      <t>Раскрытию не подлежит, ввиду отсутствия для ИП Кацман В.В. инвестиционной программы, утвержденной РЭК Омской области.</t>
    </r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</si>
  <si>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</si>
  <si>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</si>
  <si>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</si>
  <si>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</si>
  <si>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</si>
  <si>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</si>
  <si>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</si>
  <si>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</si>
  <si>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>1. Стоимость услуг тех. присоединения к сетям ИП Кацман В.В. определяется согласно стандартизированным тарифным ставкам, установленными в редакции приказа РЭК Омской области №199/45 от 18.08.2015г. Расчет окончательной стоимости определяется по формулам, указанным в Приложении №4 настоящего приказа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</si>
  <si>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</si>
  <si>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</si>
  <si>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</si>
  <si>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</si>
  <si>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</si>
  <si>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</si>
  <si>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</si>
  <si>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</si>
  <si>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</si>
  <si>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</si>
  <si>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</si>
  <si>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</si>
  <si>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</si>
  <si>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</si>
  <si>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</si>
  <si>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</si>
  <si>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</si>
  <si>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</si>
  <si>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</si>
  <si>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</si>
  <si>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</si>
  <si>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</si>
  <si>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</si>
  <si>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</si>
  <si>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</si>
  <si>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</si>
  <si>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</si>
  <si>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</si>
  <si>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г. Омск, ул. 36-я Северная, 5</t>
  </si>
  <si>
    <t>68-15-59</t>
  </si>
  <si>
    <t>68-15-59; katcman64@mail.ru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</si>
  <si>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</si>
  <si>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</si>
  <si>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</si>
  <si>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</si>
  <si>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</si>
  <si>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</si>
  <si>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</si>
  <si>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</si>
  <si>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</si>
  <si>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</si>
  <si>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</si>
  <si>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</si>
  <si>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</si>
  <si>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</si>
  <si>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</si>
  <si>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</si>
  <si>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</si>
  <si>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</si>
  <si>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</si>
  <si>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</si>
  <si>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</si>
  <si>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</si>
  <si>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</si>
  <si>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</si>
  <si>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</si>
  <si>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</si>
  <si>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</si>
  <si>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</si>
  <si>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</si>
  <si>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</si>
  <si>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</si>
  <si>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</si>
  <si>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</si>
  <si>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</si>
  <si>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</si>
  <si>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</si>
  <si>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</si>
  <si>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</si>
  <si>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</si>
  <si>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</si>
  <si>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</si>
  <si>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</si>
  <si>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</si>
  <si>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</si>
  <si>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</si>
  <si>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9:00 - 16:40</t>
  </si>
  <si>
    <t>очный</t>
  </si>
  <si>
    <t>заочный</t>
  </si>
  <si>
    <t>http://katsman-omsk.ru/centr-obsluzhivaniya-klientov/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</si>
  <si>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</si>
  <si>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2014 год</t>
  </si>
  <si>
    <t>2015 год</t>
  </si>
  <si>
    <t xml:space="preserve">ЮЛ </t>
  </si>
  <si>
    <t>Тип потребителя</t>
  </si>
  <si>
    <t>5</t>
  </si>
  <si>
    <t>6</t>
  </si>
  <si>
    <t>7</t>
  </si>
  <si>
    <t>8</t>
  </si>
  <si>
    <t>9</t>
  </si>
  <si>
    <t>10</t>
  </si>
  <si>
    <t>ФЛ (население)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</si>
  <si>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</si>
  <si>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</si>
  <si>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</si>
  <si>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ОДПУ в мжд</t>
  </si>
  <si>
    <t>безхоз</t>
  </si>
  <si>
    <t>АСКУЭ</t>
  </si>
  <si>
    <t>42</t>
  </si>
  <si>
    <t>51</t>
  </si>
  <si>
    <t>1. Общая информация о сетевой организации ИП Кацман В.В.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</si>
  <si>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</si>
  <si>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ФЛ (население чжд)</t>
  </si>
  <si>
    <t>К-во ТП</t>
  </si>
  <si>
    <t>Протяженность ВЛ</t>
  </si>
  <si>
    <t>Протяженность КЛ</t>
  </si>
  <si>
    <t xml:space="preserve"> -0,4кВ</t>
  </si>
  <si>
    <t xml:space="preserve"> -6кВ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</si>
  <si>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</si>
  <si>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</si>
  <si>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</si>
  <si>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</si>
  <si>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</si>
  <si>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</si>
  <si>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</si>
  <si>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</si>
  <si>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2. Информация о качестве услуг по передаче электрической энергии по сетям сетевой организации ИП Кацман В.В.</t>
  </si>
  <si>
    <t xml:space="preserve">4. Качество обслуживания </t>
  </si>
  <si>
    <t>4,927</t>
  </si>
  <si>
    <t>0,6</t>
  </si>
  <si>
    <t>13,666</t>
  </si>
  <si>
    <t>ТП</t>
  </si>
  <si>
    <t>100%</t>
  </si>
  <si>
    <t>63 %</t>
  </si>
  <si>
    <t>КЛ/ВЛ</t>
  </si>
  <si>
    <t>300 - городская местность</t>
  </si>
  <si>
    <t>500 - сельская местность</t>
  </si>
  <si>
    <t>ЮЛ, ИП</t>
  </si>
  <si>
    <t>ЮЛ, ИП, ФЛ-льготники (СНТ, ГСК, церкви, объединения гаражей, сараев и т.д.)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</si>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</sst>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180" wrapText="1"/>
    </xf>
    <xf numFmtId="2" fontId="1" fillId="0" borderId="0" xfId="0" applyNumberFormat="1" applyFont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/>
    <xf numFmtId="49" fontId="1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2" xfId="0" applyNumberFormat="1" applyFont="1" applyFill="1" applyBorder="1"/>
    <xf numFmtId="49" fontId="1" fillId="0" borderId="13" xfId="0" applyNumberFormat="1" applyFont="1" applyFill="1" applyBorder="1"/>
    <xf numFmtId="0" fontId="1" fillId="0" borderId="14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0" xfId="0" applyBorder="1"/>
    <xf numFmtId="3" fontId="2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811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924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71487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5151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16586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1687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17729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1801475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opLeftCell="A31" workbookViewId="0">
      <selection activeCell="E34" sqref="E34"/>
    </sheetView>
  </sheetViews>
  <sheetFormatPr defaultRowHeight="15"/>
  <cols>
    <col min="1" max="1" width="19" style="18" customWidth="1"/>
    <col min="2" max="2" width="15.42578125" style="18" customWidth="1"/>
    <col min="3" max="3" width="12.140625" style="18" customWidth="1"/>
    <col min="4" max="4" width="13.85546875" style="18" customWidth="1"/>
    <col min="5" max="5" width="13.28515625" style="1" customWidth="1"/>
    <col min="6" max="6" width="13.85546875" style="1" customWidth="1"/>
    <col min="7" max="7" width="13.140625" style="1" customWidth="1"/>
    <col min="8" max="8" width="11.7109375" style="1" customWidth="1"/>
    <col min="9" max="9" width="12.5703125" style="1" customWidth="1"/>
    <col min="10" max="10" width="12.85546875" style="1" customWidth="1"/>
    <col min="11" max="11" width="11.5703125" style="1" customWidth="1"/>
    <col min="12" max="12" width="12.5703125" style="1" customWidth="1"/>
    <col min="13" max="13" width="14.42578125" style="1" customWidth="1"/>
    <col min="14" max="14" width="11.5703125" style="1" customWidth="1"/>
    <col min="15" max="15" width="12.5703125" style="1" customWidth="1"/>
    <col min="16" max="16384" width="9.140625" style="1"/>
  </cols>
  <sheetData>
    <row r="1" spans="1:24" ht="15.75">
      <c r="A1" s="73" t="s">
        <v>235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3" spans="1:24" s="28" customFormat="1" ht="45.75" customHeight="1" thickBot="1">
      <c r="A3" s="72" t="s">
        <v>215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>
      <c r="A4" s="77" t="s">
        <v>219</v>
      </c>
      <c r="B4" s="78" t="s">
        <v>51</v>
      </c>
      <c r="C4" s="74" t="s">
        <v>216</v>
      </c>
      <c r="D4" s="75"/>
      <c r="E4" s="75"/>
      <c r="F4" s="76"/>
      <c r="G4" s="74" t="s">
        <v>217</v>
      </c>
      <c r="H4" s="75"/>
      <c r="I4" s="75"/>
      <c r="J4" s="76"/>
    </row>
    <row r="5" spans="1:24" s="19" customFormat="1">
      <c r="A5" s="77"/>
      <c r="B5" s="78"/>
      <c r="C5" s="42" t="s">
        <v>19</v>
      </c>
      <c r="D5" s="26" t="s">
        <v>20</v>
      </c>
      <c r="E5" s="24" t="s">
        <v>21</v>
      </c>
      <c r="F5" s="43" t="s">
        <v>22</v>
      </c>
      <c r="G5" s="42" t="s">
        <v>19</v>
      </c>
      <c r="H5" s="26" t="s">
        <v>20</v>
      </c>
      <c r="I5" s="24" t="s">
        <v>21</v>
      </c>
      <c r="J5" s="43" t="s">
        <v>22</v>
      </c>
    </row>
    <row r="6" spans="1:24" s="19" customFormat="1">
      <c r="A6" s="22" t="s">
        <v>160</v>
      </c>
      <c r="B6" s="32" t="s">
        <v>144</v>
      </c>
      <c r="C6" s="36" t="s">
        <v>154</v>
      </c>
      <c r="D6" s="22" t="s">
        <v>161</v>
      </c>
      <c r="E6" s="22" t="s">
        <v>220</v>
      </c>
      <c r="F6" s="37" t="s">
        <v>221</v>
      </c>
      <c r="G6" s="36" t="s">
        <v>222</v>
      </c>
      <c r="H6" s="22" t="s">
        <v>223</v>
      </c>
      <c r="I6" s="22" t="s">
        <v>224</v>
      </c>
      <c r="J6" s="37" t="s">
        <v>225</v>
      </c>
    </row>
    <row r="7" spans="1:24">
      <c r="A7" s="23" t="s">
        <v>218</v>
      </c>
      <c r="B7" s="30" t="s">
        <v>53</v>
      </c>
      <c r="C7" s="38" t="s">
        <v>159</v>
      </c>
      <c r="D7" s="20" t="s">
        <v>159</v>
      </c>
      <c r="E7" s="21">
        <v>6</v>
      </c>
      <c r="F7" s="31" t="s">
        <v>159</v>
      </c>
      <c r="G7" s="38" t="s">
        <v>159</v>
      </c>
      <c r="H7" s="20" t="s">
        <v>159</v>
      </c>
      <c r="I7" s="24">
        <v>17</v>
      </c>
      <c r="J7" s="43">
        <v>1</v>
      </c>
    </row>
    <row r="8" spans="1:24" ht="15.75" thickBot="1">
      <c r="A8" s="23" t="s">
        <v>226</v>
      </c>
      <c r="B8" s="30" t="s">
        <v>53</v>
      </c>
      <c r="C8" s="39" t="s">
        <v>159</v>
      </c>
      <c r="D8" s="44" t="s">
        <v>159</v>
      </c>
      <c r="E8" s="44" t="s">
        <v>159</v>
      </c>
      <c r="F8" s="40" t="s">
        <v>159</v>
      </c>
      <c r="G8" s="39" t="s">
        <v>159</v>
      </c>
      <c r="H8" s="44" t="s">
        <v>159</v>
      </c>
      <c r="I8" s="44" t="s">
        <v>159</v>
      </c>
      <c r="J8" s="45">
        <v>7</v>
      </c>
    </row>
    <row r="10" spans="1:24" s="29" customFormat="1" ht="60" customHeight="1" thickBot="1">
      <c r="A10" s="72" t="s">
        <v>227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24" s="25" customFormat="1" ht="60">
      <c r="A11" s="79" t="s">
        <v>219</v>
      </c>
      <c r="B11" s="34" t="s">
        <v>228</v>
      </c>
      <c r="C11" s="35" t="s">
        <v>229</v>
      </c>
      <c r="D11" s="34" t="s">
        <v>228</v>
      </c>
      <c r="E11" s="35" t="s">
        <v>229</v>
      </c>
      <c r="F11" s="5"/>
      <c r="G11" s="5"/>
      <c r="H11" s="5"/>
      <c r="I11" s="5"/>
      <c r="J11" s="5"/>
      <c r="K11" s="5"/>
      <c r="L11" s="5"/>
    </row>
    <row r="12" spans="1:24" s="25" customFormat="1" ht="15" customHeight="1">
      <c r="A12" s="80"/>
      <c r="B12" s="81" t="s">
        <v>216</v>
      </c>
      <c r="C12" s="82"/>
      <c r="D12" s="81" t="s">
        <v>217</v>
      </c>
      <c r="E12" s="82"/>
      <c r="F12" s="5"/>
      <c r="G12" s="5"/>
      <c r="H12" s="5"/>
      <c r="I12" s="5"/>
      <c r="J12" s="5"/>
      <c r="K12" s="5"/>
      <c r="L12" s="5"/>
    </row>
    <row r="13" spans="1:24" s="25" customFormat="1">
      <c r="A13" s="32" t="s">
        <v>160</v>
      </c>
      <c r="B13" s="36" t="s">
        <v>144</v>
      </c>
      <c r="C13" s="37" t="s">
        <v>154</v>
      </c>
      <c r="D13" s="36" t="s">
        <v>161</v>
      </c>
      <c r="E13" s="37" t="s">
        <v>220</v>
      </c>
      <c r="F13" s="5"/>
      <c r="G13" s="5"/>
      <c r="H13" s="5"/>
      <c r="I13" s="5"/>
      <c r="J13" s="5"/>
      <c r="K13" s="5"/>
      <c r="L13" s="5"/>
    </row>
    <row r="14" spans="1:24">
      <c r="A14" s="33" t="s">
        <v>218</v>
      </c>
      <c r="B14" s="38" t="s">
        <v>223</v>
      </c>
      <c r="C14" s="31" t="s">
        <v>223</v>
      </c>
      <c r="D14" s="38" t="s">
        <v>233</v>
      </c>
      <c r="E14" s="31" t="s">
        <v>233</v>
      </c>
    </row>
    <row r="15" spans="1:24">
      <c r="A15" s="33" t="s">
        <v>237</v>
      </c>
      <c r="B15" s="38" t="s">
        <v>159</v>
      </c>
      <c r="C15" s="31" t="s">
        <v>159</v>
      </c>
      <c r="D15" s="38" t="s">
        <v>159</v>
      </c>
      <c r="E15" s="31" t="s">
        <v>159</v>
      </c>
    </row>
    <row r="16" spans="1:24">
      <c r="A16" s="33" t="s">
        <v>230</v>
      </c>
      <c r="B16" s="38" t="s">
        <v>159</v>
      </c>
      <c r="C16" s="31" t="s">
        <v>159</v>
      </c>
      <c r="D16" s="38" t="s">
        <v>234</v>
      </c>
      <c r="E16" s="41">
        <v>51</v>
      </c>
    </row>
    <row r="17" spans="1:14">
      <c r="A17" s="33" t="s">
        <v>231</v>
      </c>
      <c r="B17" s="38" t="s">
        <v>159</v>
      </c>
      <c r="C17" s="31" t="s">
        <v>159</v>
      </c>
      <c r="D17" s="38" t="s">
        <v>159</v>
      </c>
      <c r="E17" s="31" t="s">
        <v>159</v>
      </c>
    </row>
    <row r="18" spans="1:14" ht="15.75" thickBot="1">
      <c r="A18" s="33" t="s">
        <v>232</v>
      </c>
      <c r="B18" s="39" t="s">
        <v>159</v>
      </c>
      <c r="C18" s="40" t="s">
        <v>159</v>
      </c>
      <c r="D18" s="39" t="s">
        <v>159</v>
      </c>
      <c r="E18" s="40" t="s">
        <v>159</v>
      </c>
    </row>
    <row r="20" spans="1:14" ht="39.75" customHeight="1" thickBot="1">
      <c r="A20" s="72" t="s">
        <v>236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s="5" customFormat="1" ht="15" customHeight="1">
      <c r="A21" s="90" t="s">
        <v>238</v>
      </c>
      <c r="B21" s="88" t="s">
        <v>239</v>
      </c>
      <c r="C21" s="88"/>
      <c r="D21" s="88" t="s">
        <v>240</v>
      </c>
      <c r="E21" s="89"/>
      <c r="F21" s="86" t="s">
        <v>238</v>
      </c>
      <c r="G21" s="88" t="s">
        <v>239</v>
      </c>
      <c r="H21" s="88"/>
      <c r="I21" s="88" t="s">
        <v>240</v>
      </c>
      <c r="J21" s="89"/>
    </row>
    <row r="22" spans="1:14">
      <c r="A22" s="91"/>
      <c r="B22" s="20" t="s">
        <v>242</v>
      </c>
      <c r="C22" s="20" t="s">
        <v>241</v>
      </c>
      <c r="D22" s="20" t="s">
        <v>242</v>
      </c>
      <c r="E22" s="31" t="s">
        <v>241</v>
      </c>
      <c r="F22" s="87"/>
      <c r="G22" s="20" t="s">
        <v>243</v>
      </c>
      <c r="H22" s="20" t="s">
        <v>241</v>
      </c>
      <c r="I22" s="20" t="s">
        <v>243</v>
      </c>
      <c r="J22" s="31" t="s">
        <v>241</v>
      </c>
    </row>
    <row r="23" spans="1:14">
      <c r="A23" s="83" t="s">
        <v>216</v>
      </c>
      <c r="B23" s="84"/>
      <c r="C23" s="84"/>
      <c r="D23" s="84"/>
      <c r="E23" s="85"/>
      <c r="F23" s="83" t="s">
        <v>217</v>
      </c>
      <c r="G23" s="84"/>
      <c r="H23" s="84"/>
      <c r="I23" s="84"/>
      <c r="J23" s="85"/>
    </row>
    <row r="24" spans="1:14" s="62" customFormat="1" ht="15.75" thickBot="1">
      <c r="A24" s="58" t="s">
        <v>161</v>
      </c>
      <c r="B24" s="59" t="s">
        <v>159</v>
      </c>
      <c r="C24" s="59" t="s">
        <v>159</v>
      </c>
      <c r="D24" s="59" t="s">
        <v>253</v>
      </c>
      <c r="E24" s="60" t="s">
        <v>159</v>
      </c>
      <c r="F24" s="61">
        <v>8</v>
      </c>
      <c r="G24" s="59" t="s">
        <v>159</v>
      </c>
      <c r="H24" s="59" t="s">
        <v>254</v>
      </c>
      <c r="I24" s="59" t="s">
        <v>255</v>
      </c>
      <c r="J24" s="60">
        <v>5.3860000000000001</v>
      </c>
    </row>
    <row r="26" spans="1:14" ht="35.25" customHeight="1" thickBot="1">
      <c r="A26" s="72" t="s">
        <v>244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s="25" customFormat="1" ht="15" customHeight="1">
      <c r="A27" s="78" t="s">
        <v>246</v>
      </c>
      <c r="B27" s="90" t="s">
        <v>245</v>
      </c>
      <c r="C27" s="88"/>
      <c r="D27" s="88"/>
      <c r="E27" s="89"/>
      <c r="F27" s="90" t="s">
        <v>245</v>
      </c>
      <c r="G27" s="88"/>
      <c r="H27" s="88"/>
      <c r="I27" s="89"/>
    </row>
    <row r="28" spans="1:14" s="19" customFormat="1">
      <c r="A28" s="78"/>
      <c r="B28" s="38" t="s">
        <v>19</v>
      </c>
      <c r="C28" s="20" t="s">
        <v>20</v>
      </c>
      <c r="D28" s="20" t="s">
        <v>21</v>
      </c>
      <c r="E28" s="41" t="s">
        <v>22</v>
      </c>
      <c r="F28" s="38" t="s">
        <v>19</v>
      </c>
      <c r="G28" s="20" t="s">
        <v>20</v>
      </c>
      <c r="H28" s="20" t="s">
        <v>21</v>
      </c>
      <c r="I28" s="41" t="s">
        <v>22</v>
      </c>
    </row>
    <row r="29" spans="1:14">
      <c r="A29" s="78"/>
      <c r="B29" s="83" t="s">
        <v>216</v>
      </c>
      <c r="C29" s="84"/>
      <c r="D29" s="84"/>
      <c r="E29" s="85"/>
      <c r="F29" s="83" t="s">
        <v>217</v>
      </c>
      <c r="G29" s="84"/>
      <c r="H29" s="84"/>
      <c r="I29" s="85"/>
    </row>
    <row r="30" spans="1:14">
      <c r="A30" s="53" t="s">
        <v>256</v>
      </c>
      <c r="B30" s="54"/>
      <c r="C30" s="55"/>
      <c r="D30" s="55" t="s">
        <v>257</v>
      </c>
      <c r="E30" s="56"/>
      <c r="F30" s="54"/>
      <c r="G30" s="55"/>
      <c r="H30" s="55" t="s">
        <v>258</v>
      </c>
      <c r="I30" s="56"/>
    </row>
    <row r="31" spans="1:14" s="71" customFormat="1" ht="15.75" thickBot="1">
      <c r="A31" s="63" t="s">
        <v>259</v>
      </c>
      <c r="B31" s="64"/>
      <c r="C31" s="65"/>
      <c r="D31" s="59" t="s">
        <v>257</v>
      </c>
      <c r="E31" s="66"/>
      <c r="F31" s="67"/>
      <c r="G31" s="68"/>
      <c r="H31" s="69">
        <v>0.56999999999999995</v>
      </c>
      <c r="I31" s="70"/>
    </row>
  </sheetData>
  <mergeCells count="25">
    <mergeCell ref="A26:N26"/>
    <mergeCell ref="B27:E27"/>
    <mergeCell ref="B29:E29"/>
    <mergeCell ref="F27:I27"/>
    <mergeCell ref="F29:I29"/>
    <mergeCell ref="A27:A29"/>
    <mergeCell ref="A23:E23"/>
    <mergeCell ref="F21:F22"/>
    <mergeCell ref="F23:J23"/>
    <mergeCell ref="B21:C21"/>
    <mergeCell ref="D21:E21"/>
    <mergeCell ref="A21:A22"/>
    <mergeCell ref="G21:H21"/>
    <mergeCell ref="I21:J21"/>
    <mergeCell ref="A20:N20"/>
    <mergeCell ref="A1:R1"/>
    <mergeCell ref="C4:F4"/>
    <mergeCell ref="G4:J4"/>
    <mergeCell ref="A4:A5"/>
    <mergeCell ref="B4:B5"/>
    <mergeCell ref="A3:N3"/>
    <mergeCell ref="A10:N10"/>
    <mergeCell ref="A11:A12"/>
    <mergeCell ref="B12:C12"/>
    <mergeCell ref="D12:E12"/>
  </mergeCells>
  <pageMargins left="0.7" right="0.7" top="0.75" bottom="0.75" header="0.3" footer="0.3"/>
  <ignoredErrors>
    <ignoredError sqref="A6:B6 C6:J6 A13:C13 D13:E13 B14:E14 D16 A24:J24 D30:H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SheetLayoutView="100" workbookViewId="0">
      <pane xSplit="18735" topLeftCell="U1"/>
      <selection activeCell="K7" sqref="K7"/>
      <selection pane="topRight" activeCell="U31" sqref="U31"/>
    </sheetView>
  </sheetViews>
  <sheetFormatPr defaultRowHeight="15"/>
  <cols>
    <col min="1" max="1" width="6.7109375" style="1" customWidth="1"/>
    <col min="2" max="2" width="53.85546875" style="1" customWidth="1"/>
    <col min="3" max="3" width="12.28515625" style="1" customWidth="1"/>
    <col min="4" max="4" width="13.28515625" style="1" customWidth="1"/>
    <col min="5" max="5" width="14.140625" style="1" customWidth="1"/>
    <col min="6" max="18" width="9.140625" style="1"/>
    <col min="19" max="19" width="32.7109375" style="1" customWidth="1"/>
    <col min="20" max="20" width="34.42578125" style="1" customWidth="1"/>
    <col min="21" max="16384" width="9.140625" style="1"/>
  </cols>
  <sheetData>
    <row r="1" spans="1:13" ht="15.75">
      <c r="A1" s="73" t="s">
        <v>251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6" customFormat="1" ht="12.75">
      <c r="A2" s="97" t="s">
        <v>124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1:13">
      <c r="A4" s="94" t="s">
        <v>2</v>
      </c>
      <c r="B4" s="94" t="s">
        <v>0</v>
      </c>
      <c r="C4" s="94" t="s">
        <v>1</v>
      </c>
      <c r="D4" s="94"/>
      <c r="E4" s="94"/>
    </row>
    <row r="5" spans="1:13" ht="38.25">
      <c r="A5" s="94"/>
      <c r="B5" s="94"/>
      <c r="C5" s="46" t="s">
        <v>3</v>
      </c>
      <c r="D5" s="46" t="s">
        <v>4</v>
      </c>
      <c r="E5" s="46" t="s">
        <v>5</v>
      </c>
    </row>
    <row r="6" spans="1:13">
      <c r="A6" s="46">
        <v>1</v>
      </c>
      <c r="B6" s="46">
        <v>2</v>
      </c>
      <c r="C6" s="46">
        <v>3</v>
      </c>
      <c r="D6" s="46">
        <v>4</v>
      </c>
      <c r="E6" s="46">
        <v>5</v>
      </c>
    </row>
    <row r="7" spans="1:13" ht="25.5" customHeight="1">
      <c r="A7" s="94">
        <v>1</v>
      </c>
      <c r="B7" s="99" t="s">
        <v>248</v>
      </c>
      <c r="C7" s="98">
        <v>0.89749999999999996</v>
      </c>
      <c r="D7" s="98">
        <v>0.89749999999999996</v>
      </c>
      <c r="E7" s="98">
        <v>0</v>
      </c>
    </row>
    <row r="8" spans="1:13">
      <c r="A8" s="94"/>
      <c r="B8" s="99"/>
      <c r="C8" s="98"/>
      <c r="D8" s="98"/>
      <c r="E8" s="98"/>
    </row>
    <row r="9" spans="1:13">
      <c r="A9" s="51" t="s">
        <v>100</v>
      </c>
      <c r="B9" s="52" t="s">
        <v>6</v>
      </c>
      <c r="C9" s="48" t="s">
        <v>119</v>
      </c>
      <c r="D9" s="48" t="s">
        <v>119</v>
      </c>
      <c r="E9" s="48" t="s">
        <v>119</v>
      </c>
    </row>
    <row r="10" spans="1:13">
      <c r="A10" s="51" t="s">
        <v>101</v>
      </c>
      <c r="B10" s="52" t="s">
        <v>7</v>
      </c>
      <c r="C10" s="48" t="s">
        <v>119</v>
      </c>
      <c r="D10" s="48" t="s">
        <v>119</v>
      </c>
      <c r="E10" s="48" t="s">
        <v>119</v>
      </c>
    </row>
    <row r="11" spans="1:13">
      <c r="A11" s="51" t="s">
        <v>102</v>
      </c>
      <c r="B11" s="52" t="s">
        <v>8</v>
      </c>
      <c r="C11" s="48">
        <f>C7</f>
        <v>0.89749999999999996</v>
      </c>
      <c r="D11" s="48">
        <f>D7</f>
        <v>0.89749999999999996</v>
      </c>
      <c r="E11" s="48" t="s">
        <v>119</v>
      </c>
    </row>
    <row r="12" spans="1:13">
      <c r="A12" s="51" t="s">
        <v>103</v>
      </c>
      <c r="B12" s="52" t="s">
        <v>9</v>
      </c>
      <c r="C12" s="48" t="s">
        <v>119</v>
      </c>
      <c r="D12" s="48" t="s">
        <v>119</v>
      </c>
      <c r="E12" s="48" t="s">
        <v>119</v>
      </c>
    </row>
    <row r="13" spans="1:13" ht="25.5" customHeight="1">
      <c r="A13" s="94">
        <v>2</v>
      </c>
      <c r="B13" s="99" t="s">
        <v>247</v>
      </c>
      <c r="C13" s="98">
        <v>0</v>
      </c>
      <c r="D13" s="98">
        <v>0</v>
      </c>
      <c r="E13" s="98">
        <v>0</v>
      </c>
    </row>
    <row r="14" spans="1:13">
      <c r="A14" s="94"/>
      <c r="B14" s="99"/>
      <c r="C14" s="98"/>
      <c r="D14" s="98"/>
      <c r="E14" s="98"/>
    </row>
    <row r="15" spans="1:13">
      <c r="A15" s="51" t="s">
        <v>104</v>
      </c>
      <c r="B15" s="52" t="s">
        <v>6</v>
      </c>
      <c r="C15" s="48" t="s">
        <v>119</v>
      </c>
      <c r="D15" s="48" t="s">
        <v>119</v>
      </c>
      <c r="E15" s="48" t="s">
        <v>119</v>
      </c>
    </row>
    <row r="16" spans="1:13">
      <c r="A16" s="51" t="s">
        <v>105</v>
      </c>
      <c r="B16" s="52" t="s">
        <v>7</v>
      </c>
      <c r="C16" s="48" t="s">
        <v>119</v>
      </c>
      <c r="D16" s="48" t="s">
        <v>119</v>
      </c>
      <c r="E16" s="48" t="s">
        <v>119</v>
      </c>
    </row>
    <row r="17" spans="1:5">
      <c r="A17" s="51" t="s">
        <v>106</v>
      </c>
      <c r="B17" s="52" t="s">
        <v>8</v>
      </c>
      <c r="C17" s="48">
        <v>0</v>
      </c>
      <c r="D17" s="48">
        <v>0</v>
      </c>
      <c r="E17" s="48" t="s">
        <v>119</v>
      </c>
    </row>
    <row r="18" spans="1:5">
      <c r="A18" s="51" t="s">
        <v>107</v>
      </c>
      <c r="B18" s="52" t="s">
        <v>9</v>
      </c>
      <c r="C18" s="48" t="s">
        <v>119</v>
      </c>
      <c r="D18" s="48" t="s">
        <v>119</v>
      </c>
      <c r="E18" s="48" t="s">
        <v>119</v>
      </c>
    </row>
    <row r="19" spans="1:5" ht="63.75" customHeight="1">
      <c r="A19" s="94">
        <v>3</v>
      </c>
      <c r="B19" s="99" t="s">
        <v>249</v>
      </c>
      <c r="C19" s="98">
        <v>0</v>
      </c>
      <c r="D19" s="98">
        <v>0</v>
      </c>
      <c r="E19" s="98">
        <v>0</v>
      </c>
    </row>
    <row r="20" spans="1:5">
      <c r="A20" s="94"/>
      <c r="B20" s="99"/>
      <c r="C20" s="98"/>
      <c r="D20" s="98"/>
      <c r="E20" s="98"/>
    </row>
    <row r="21" spans="1:5">
      <c r="A21" s="51" t="s">
        <v>108</v>
      </c>
      <c r="B21" s="52" t="s">
        <v>6</v>
      </c>
      <c r="C21" s="48" t="s">
        <v>119</v>
      </c>
      <c r="D21" s="48" t="s">
        <v>119</v>
      </c>
      <c r="E21" s="48" t="s">
        <v>119</v>
      </c>
    </row>
    <row r="22" spans="1:5">
      <c r="A22" s="51" t="s">
        <v>109</v>
      </c>
      <c r="B22" s="52" t="s">
        <v>7</v>
      </c>
      <c r="C22" s="48" t="s">
        <v>119</v>
      </c>
      <c r="D22" s="48" t="s">
        <v>119</v>
      </c>
      <c r="E22" s="48" t="s">
        <v>119</v>
      </c>
    </row>
    <row r="23" spans="1:5">
      <c r="A23" s="51" t="s">
        <v>110</v>
      </c>
      <c r="B23" s="52" t="s">
        <v>8</v>
      </c>
      <c r="C23" s="48">
        <v>0</v>
      </c>
      <c r="D23" s="48" t="s">
        <v>119</v>
      </c>
      <c r="E23" s="48" t="s">
        <v>119</v>
      </c>
    </row>
    <row r="24" spans="1:5">
      <c r="A24" s="51" t="s">
        <v>111</v>
      </c>
      <c r="B24" s="52" t="s">
        <v>9</v>
      </c>
      <c r="C24" s="48" t="s">
        <v>119</v>
      </c>
      <c r="D24" s="48" t="s">
        <v>119</v>
      </c>
      <c r="E24" s="48" t="s">
        <v>119</v>
      </c>
    </row>
    <row r="25" spans="1:5" ht="63.75" customHeight="1">
      <c r="A25" s="94">
        <v>4</v>
      </c>
      <c r="B25" s="99" t="s">
        <v>250</v>
      </c>
      <c r="C25" s="98">
        <v>0</v>
      </c>
      <c r="D25" s="98">
        <v>0</v>
      </c>
      <c r="E25" s="98">
        <v>0</v>
      </c>
    </row>
    <row r="26" spans="1:5">
      <c r="A26" s="94"/>
      <c r="B26" s="99"/>
      <c r="C26" s="98"/>
      <c r="D26" s="98"/>
      <c r="E26" s="98"/>
    </row>
    <row r="27" spans="1:5">
      <c r="A27" s="51" t="s">
        <v>112</v>
      </c>
      <c r="B27" s="52" t="s">
        <v>6</v>
      </c>
      <c r="C27" s="48" t="s">
        <v>119</v>
      </c>
      <c r="D27" s="48" t="s">
        <v>119</v>
      </c>
      <c r="E27" s="48" t="s">
        <v>119</v>
      </c>
    </row>
    <row r="28" spans="1:5">
      <c r="A28" s="51" t="s">
        <v>113</v>
      </c>
      <c r="B28" s="52" t="s">
        <v>7</v>
      </c>
      <c r="C28" s="48" t="s">
        <v>119</v>
      </c>
      <c r="D28" s="48" t="s">
        <v>119</v>
      </c>
      <c r="E28" s="48" t="s">
        <v>119</v>
      </c>
    </row>
    <row r="29" spans="1:5">
      <c r="A29" s="51" t="s">
        <v>114</v>
      </c>
      <c r="B29" s="52" t="s">
        <v>8</v>
      </c>
      <c r="C29" s="48" t="s">
        <v>119</v>
      </c>
      <c r="D29" s="48" t="s">
        <v>119</v>
      </c>
      <c r="E29" s="48" t="s">
        <v>119</v>
      </c>
    </row>
    <row r="30" spans="1:5">
      <c r="A30" s="51" t="s">
        <v>115</v>
      </c>
      <c r="B30" s="52" t="s">
        <v>9</v>
      </c>
      <c r="C30" s="48" t="s">
        <v>119</v>
      </c>
      <c r="D30" s="48" t="s">
        <v>119</v>
      </c>
      <c r="E30" s="48" t="s">
        <v>119</v>
      </c>
    </row>
    <row r="31" spans="1:5" ht="38.25">
      <c r="A31" s="46">
        <v>5</v>
      </c>
      <c r="B31" s="50" t="s">
        <v>10</v>
      </c>
      <c r="C31" s="48">
        <v>0</v>
      </c>
      <c r="D31" s="48">
        <v>0</v>
      </c>
      <c r="E31" s="48">
        <v>0</v>
      </c>
    </row>
    <row r="32" spans="1:5" ht="51">
      <c r="A32" s="51" t="s">
        <v>116</v>
      </c>
      <c r="B32" s="50" t="s">
        <v>11</v>
      </c>
      <c r="C32" s="48">
        <v>0</v>
      </c>
      <c r="D32" s="48">
        <v>0</v>
      </c>
      <c r="E32" s="48">
        <v>0</v>
      </c>
    </row>
    <row r="34" spans="1:20" s="7" customFormat="1" ht="12.75">
      <c r="A34" s="92" t="s">
        <v>122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>
      <c r="A35" s="2"/>
    </row>
    <row r="36" spans="1:20" ht="133.5" customHeight="1">
      <c r="A36" s="94" t="s">
        <v>2</v>
      </c>
      <c r="B36" s="94" t="s">
        <v>12</v>
      </c>
      <c r="C36" s="94" t="s">
        <v>13</v>
      </c>
      <c r="D36" s="94"/>
      <c r="E36" s="94"/>
      <c r="F36" s="94"/>
      <c r="G36" s="94" t="s">
        <v>14</v>
      </c>
      <c r="H36" s="94"/>
      <c r="I36" s="94"/>
      <c r="J36" s="94"/>
      <c r="K36" s="94" t="s">
        <v>15</v>
      </c>
      <c r="L36" s="94"/>
      <c r="M36" s="94"/>
      <c r="N36" s="94"/>
      <c r="O36" s="94" t="s">
        <v>16</v>
      </c>
      <c r="P36" s="94"/>
      <c r="Q36" s="94"/>
      <c r="R36" s="94"/>
      <c r="S36" s="94" t="s">
        <v>17</v>
      </c>
      <c r="T36" s="94" t="s">
        <v>18</v>
      </c>
    </row>
    <row r="37" spans="1:20" ht="33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>
      <c r="A38" s="94"/>
      <c r="B38" s="94"/>
      <c r="C38" s="46" t="s">
        <v>19</v>
      </c>
      <c r="D38" s="46" t="s">
        <v>20</v>
      </c>
      <c r="E38" s="46" t="s">
        <v>21</v>
      </c>
      <c r="F38" s="46" t="s">
        <v>22</v>
      </c>
      <c r="G38" s="46" t="s">
        <v>19</v>
      </c>
      <c r="H38" s="46" t="s">
        <v>20</v>
      </c>
      <c r="I38" s="46" t="s">
        <v>21</v>
      </c>
      <c r="J38" s="46" t="s">
        <v>22</v>
      </c>
      <c r="K38" s="46" t="s">
        <v>19</v>
      </c>
      <c r="L38" s="46" t="s">
        <v>20</v>
      </c>
      <c r="M38" s="46" t="s">
        <v>21</v>
      </c>
      <c r="N38" s="46" t="s">
        <v>22</v>
      </c>
      <c r="O38" s="46" t="s">
        <v>19</v>
      </c>
      <c r="P38" s="46" t="s">
        <v>20</v>
      </c>
      <c r="Q38" s="46" t="s">
        <v>21</v>
      </c>
      <c r="R38" s="46" t="s">
        <v>22</v>
      </c>
      <c r="S38" s="94"/>
      <c r="T38" s="94"/>
    </row>
    <row r="39" spans="1:20">
      <c r="A39" s="46">
        <v>1</v>
      </c>
      <c r="B39" s="46">
        <v>2</v>
      </c>
      <c r="C39" s="46">
        <v>3</v>
      </c>
      <c r="D39" s="46">
        <v>4</v>
      </c>
      <c r="E39" s="46">
        <v>5</v>
      </c>
      <c r="F39" s="46">
        <v>6</v>
      </c>
      <c r="G39" s="46">
        <v>7</v>
      </c>
      <c r="H39" s="46">
        <v>8</v>
      </c>
      <c r="I39" s="46">
        <v>9</v>
      </c>
      <c r="J39" s="46">
        <v>10</v>
      </c>
      <c r="K39" s="46">
        <v>11</v>
      </c>
      <c r="L39" s="46">
        <v>12</v>
      </c>
      <c r="M39" s="46">
        <v>13</v>
      </c>
      <c r="N39" s="46">
        <v>14</v>
      </c>
      <c r="O39" s="46">
        <v>15</v>
      </c>
      <c r="P39" s="46">
        <v>16</v>
      </c>
      <c r="Q39" s="46">
        <v>17</v>
      </c>
      <c r="R39" s="46">
        <v>18</v>
      </c>
      <c r="S39" s="46">
        <v>19</v>
      </c>
      <c r="T39" s="46">
        <v>20</v>
      </c>
    </row>
    <row r="40" spans="1:20">
      <c r="A40" s="46">
        <v>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>
      <c r="A41" s="46">
        <v>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>
      <c r="A42" s="46" t="s">
        <v>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>
      <c r="A44" s="46" t="s">
        <v>24</v>
      </c>
      <c r="B44" s="49" t="s">
        <v>25</v>
      </c>
      <c r="C44" s="48" t="s">
        <v>119</v>
      </c>
      <c r="D44" s="48" t="s">
        <v>119</v>
      </c>
      <c r="E44" s="48" t="s">
        <v>119</v>
      </c>
      <c r="F44" s="48" t="s">
        <v>119</v>
      </c>
      <c r="G44" s="48" t="s">
        <v>119</v>
      </c>
      <c r="H44" s="48" t="s">
        <v>119</v>
      </c>
      <c r="I44" s="48" t="s">
        <v>119</v>
      </c>
      <c r="J44" s="48" t="s">
        <v>119</v>
      </c>
      <c r="K44" s="48" t="s">
        <v>119</v>
      </c>
      <c r="L44" s="48" t="s">
        <v>119</v>
      </c>
      <c r="M44" s="48" t="s">
        <v>119</v>
      </c>
      <c r="N44" s="48" t="s">
        <v>119</v>
      </c>
      <c r="O44" s="48" t="s">
        <v>119</v>
      </c>
      <c r="P44" s="48" t="s">
        <v>119</v>
      </c>
      <c r="Q44" s="48">
        <v>0</v>
      </c>
      <c r="R44" s="48" t="s">
        <v>119</v>
      </c>
      <c r="S44" s="48" t="s">
        <v>119</v>
      </c>
      <c r="T44" s="48" t="s">
        <v>119</v>
      </c>
    </row>
    <row r="45" spans="1:20">
      <c r="A45" s="2"/>
    </row>
    <row r="46" spans="1:20">
      <c r="A46" s="92" t="s">
        <v>130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0">
      <c r="A47" s="95" t="s">
        <v>131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>
      <c r="A48" s="95" t="s">
        <v>132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>
      <c r="A49" s="95" t="s">
        <v>133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>
      <c r="A50" s="92" t="s">
        <v>26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</sheetData>
  <mergeCells count="39"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A46:T46"/>
    <mergeCell ref="A50:T50"/>
    <mergeCell ref="A36:A38"/>
    <mergeCell ref="B36:B38"/>
    <mergeCell ref="C36:F37"/>
    <mergeCell ref="G36:J37"/>
    <mergeCell ref="K36:N37"/>
    <mergeCell ref="O36:R37"/>
    <mergeCell ref="A47:T47"/>
    <mergeCell ref="A49:T49"/>
    <mergeCell ref="A48:T48"/>
    <mergeCell ref="S36:S38"/>
    <mergeCell ref="T36:T38"/>
  </mergeCells>
  <pageMargins left="0.7" right="0.7" top="0.75" bottom="0.75" header="0.3" footer="0.3"/>
  <pageSetup paperSize="9" scale="2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workbookViewId="0">
      <selection activeCell="N48" sqref="N48"/>
    </sheetView>
  </sheetViews>
  <sheetFormatPr defaultRowHeight="15"/>
  <cols>
    <col min="1" max="1" width="5" style="1" customWidth="1"/>
    <col min="2" max="2" width="34.7109375" style="1" customWidth="1"/>
    <col min="3" max="4" width="9.140625" style="1"/>
    <col min="5" max="12" width="11.42578125" style="1" customWidth="1"/>
    <col min="13" max="13" width="9.140625" style="1"/>
    <col min="14" max="14" width="11.140625" style="1" customWidth="1"/>
    <col min="15" max="16" width="9.140625" style="1"/>
    <col min="17" max="17" width="11" style="1" customWidth="1"/>
    <col min="18" max="16384" width="9.140625" style="1"/>
  </cols>
  <sheetData>
    <row r="1" spans="1:18" s="3" customFormat="1" ht="15.75">
      <c r="A1" s="73" t="s">
        <v>123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8">
      <c r="A2" s="106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8" ht="56.25" customHeight="1">
      <c r="A3" s="103" t="s">
        <v>125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93"/>
      <c r="O3" s="93"/>
      <c r="P3" s="93"/>
      <c r="Q3" s="93"/>
      <c r="R3" s="93"/>
    </row>
    <row r="4" spans="1:18">
      <c r="A4" s="103" t="s">
        <v>127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3"/>
      <c r="O4" s="93"/>
      <c r="P4" s="93"/>
      <c r="Q4" s="93"/>
      <c r="R4" s="93"/>
    </row>
    <row r="5" spans="1:18">
      <c r="A5" s="105" t="s">
        <v>129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>
      <c r="A6" s="105" t="s">
        <v>126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>
      <c r="A7" s="105" t="s">
        <v>128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>
      <c r="A8" s="103" t="s">
        <v>28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93"/>
      <c r="O8" s="93"/>
      <c r="P8" s="93"/>
      <c r="Q8" s="93"/>
      <c r="R8" s="93"/>
    </row>
    <row r="9" spans="1:18">
      <c r="A9" s="103" t="s">
        <v>29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8">
      <c r="A10" s="2"/>
    </row>
    <row r="11" spans="1:18">
      <c r="A11" s="94" t="s">
        <v>2</v>
      </c>
      <c r="B11" s="94" t="s">
        <v>0</v>
      </c>
      <c r="C11" s="94" t="s">
        <v>30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 t="s">
        <v>31</v>
      </c>
    </row>
    <row r="12" spans="1:18" ht="25.5" customHeight="1">
      <c r="A12" s="94"/>
      <c r="B12" s="94"/>
      <c r="C12" s="94" t="s">
        <v>32</v>
      </c>
      <c r="D12" s="94"/>
      <c r="E12" s="94"/>
      <c r="F12" s="94" t="s">
        <v>33</v>
      </c>
      <c r="G12" s="94"/>
      <c r="H12" s="94"/>
      <c r="I12" s="94" t="s">
        <v>34</v>
      </c>
      <c r="J12" s="94"/>
      <c r="K12" s="94"/>
      <c r="L12" s="94" t="s">
        <v>35</v>
      </c>
      <c r="M12" s="94"/>
      <c r="N12" s="94"/>
      <c r="O12" s="94" t="s">
        <v>36</v>
      </c>
      <c r="P12" s="94"/>
      <c r="Q12" s="94"/>
      <c r="R12" s="94"/>
    </row>
    <row r="13" spans="1:18" ht="51">
      <c r="A13" s="94"/>
      <c r="B13" s="94"/>
      <c r="C13" s="46" t="s">
        <v>3</v>
      </c>
      <c r="D13" s="46" t="s">
        <v>4</v>
      </c>
      <c r="E13" s="46" t="s">
        <v>37</v>
      </c>
      <c r="F13" s="46" t="s">
        <v>3</v>
      </c>
      <c r="G13" s="46" t="s">
        <v>4</v>
      </c>
      <c r="H13" s="46" t="s">
        <v>37</v>
      </c>
      <c r="I13" s="46" t="s">
        <v>3</v>
      </c>
      <c r="J13" s="46" t="s">
        <v>4</v>
      </c>
      <c r="K13" s="46" t="s">
        <v>37</v>
      </c>
      <c r="L13" s="46" t="s">
        <v>3</v>
      </c>
      <c r="M13" s="46" t="s">
        <v>4</v>
      </c>
      <c r="N13" s="46" t="s">
        <v>37</v>
      </c>
      <c r="O13" s="46" t="s">
        <v>3</v>
      </c>
      <c r="P13" s="46" t="s">
        <v>4</v>
      </c>
      <c r="Q13" s="46" t="s">
        <v>37</v>
      </c>
      <c r="R13" s="49"/>
    </row>
    <row r="14" spans="1:18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6">
        <v>12</v>
      </c>
      <c r="M14" s="46">
        <v>13</v>
      </c>
      <c r="N14" s="46">
        <v>14</v>
      </c>
      <c r="O14" s="46">
        <v>15</v>
      </c>
      <c r="P14" s="46">
        <v>16</v>
      </c>
      <c r="Q14" s="46">
        <v>17</v>
      </c>
      <c r="R14" s="46">
        <v>18</v>
      </c>
    </row>
    <row r="15" spans="1:18" ht="38.25">
      <c r="A15" s="46">
        <v>1</v>
      </c>
      <c r="B15" s="50" t="s">
        <v>38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</row>
    <row r="16" spans="1:18" ht="63.75">
      <c r="A16" s="46">
        <v>2</v>
      </c>
      <c r="B16" s="49" t="s">
        <v>39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</row>
    <row r="17" spans="1:18" ht="102">
      <c r="A17" s="46">
        <v>3</v>
      </c>
      <c r="B17" s="49" t="s">
        <v>40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</row>
    <row r="18" spans="1:18">
      <c r="A18" s="51" t="s">
        <v>108</v>
      </c>
      <c r="B18" s="49" t="s">
        <v>41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</row>
    <row r="19" spans="1:18">
      <c r="A19" s="51" t="s">
        <v>109</v>
      </c>
      <c r="B19" s="49" t="s">
        <v>42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</row>
    <row r="20" spans="1:18" ht="63.75">
      <c r="A20" s="46">
        <v>4</v>
      </c>
      <c r="B20" s="49" t="s">
        <v>43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</row>
    <row r="21" spans="1:18" ht="51">
      <c r="A21" s="46">
        <v>5</v>
      </c>
      <c r="B21" s="49" t="s">
        <v>44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</row>
    <row r="22" spans="1:18" ht="51">
      <c r="A22" s="46">
        <v>6</v>
      </c>
      <c r="B22" s="49" t="s">
        <v>45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</row>
    <row r="23" spans="1:18" ht="89.25">
      <c r="A23" s="46">
        <v>7</v>
      </c>
      <c r="B23" s="49" t="s">
        <v>46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</row>
    <row r="24" spans="1:18">
      <c r="A24" s="51" t="s">
        <v>117</v>
      </c>
      <c r="B24" s="49" t="s">
        <v>41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</row>
    <row r="25" spans="1:18">
      <c r="A25" s="51" t="s">
        <v>118</v>
      </c>
      <c r="B25" s="49" t="s">
        <v>47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</row>
    <row r="26" spans="1:18" ht="51">
      <c r="A26" s="46">
        <v>8</v>
      </c>
      <c r="B26" s="49" t="s">
        <v>48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</row>
    <row r="27" spans="1:18">
      <c r="A27" s="2"/>
    </row>
    <row r="28" spans="1:18" ht="33.75" customHeight="1">
      <c r="A28" s="101" t="s">
        <v>49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 ht="28.5" customHeight="1">
      <c r="A29" s="95" t="s">
        <v>134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>
      <c r="B30" s="94" t="s">
        <v>50</v>
      </c>
      <c r="C30" s="94"/>
      <c r="D30" s="94"/>
      <c r="E30" s="94">
        <v>15</v>
      </c>
      <c r="F30" s="94"/>
      <c r="G30" s="94">
        <v>150</v>
      </c>
      <c r="H30" s="94"/>
      <c r="I30" s="94">
        <v>250</v>
      </c>
      <c r="J30" s="94"/>
      <c r="K30" s="94">
        <v>670</v>
      </c>
      <c r="L30" s="94"/>
    </row>
    <row r="31" spans="1:18">
      <c r="B31" s="94" t="s">
        <v>51</v>
      </c>
      <c r="C31" s="94"/>
      <c r="D31" s="94"/>
      <c r="E31" s="46" t="s">
        <v>52</v>
      </c>
      <c r="F31" s="46" t="s">
        <v>53</v>
      </c>
      <c r="G31" s="46" t="s">
        <v>52</v>
      </c>
      <c r="H31" s="46" t="s">
        <v>53</v>
      </c>
      <c r="I31" s="46" t="s">
        <v>52</v>
      </c>
      <c r="J31" s="46" t="s">
        <v>53</v>
      </c>
      <c r="K31" s="46" t="s">
        <v>52</v>
      </c>
      <c r="L31" s="46" t="s">
        <v>53</v>
      </c>
    </row>
    <row r="32" spans="1:18" ht="140.25">
      <c r="B32" s="46" t="s">
        <v>54</v>
      </c>
      <c r="C32" s="46" t="s">
        <v>55</v>
      </c>
      <c r="D32" s="46" t="s">
        <v>56</v>
      </c>
      <c r="E32" s="118" t="s">
        <v>262</v>
      </c>
      <c r="F32" s="118" t="s">
        <v>263</v>
      </c>
      <c r="G32" s="118" t="s">
        <v>262</v>
      </c>
      <c r="H32" s="118" t="s">
        <v>262</v>
      </c>
      <c r="I32" s="118" t="s">
        <v>262</v>
      </c>
      <c r="J32" s="118" t="s">
        <v>262</v>
      </c>
      <c r="K32" s="118" t="s">
        <v>262</v>
      </c>
      <c r="L32" s="118" t="s">
        <v>262</v>
      </c>
    </row>
    <row r="33" spans="2:12">
      <c r="B33" s="100" t="s">
        <v>260</v>
      </c>
      <c r="C33" s="100" t="s">
        <v>57</v>
      </c>
      <c r="D33" s="57" t="s">
        <v>58</v>
      </c>
      <c r="E33" s="119">
        <f>(44.18*15+2*(315089.02*0.3)+539.96*15)+(956.7+139929.77+4471.72+594.22+1475.2)</f>
        <v>345243.12200000003</v>
      </c>
      <c r="F33" s="120">
        <v>550</v>
      </c>
      <c r="G33" s="121">
        <f>(44.18*150+2*(315089.02*0.3)+539.96*150)+(956.7+139929+4471.72+594.22+1475.2)</f>
        <v>424101.25200000004</v>
      </c>
      <c r="H33" s="121">
        <f>44.18*150+(315089.02*0.3)+539.96*150</f>
        <v>182147.70600000001</v>
      </c>
      <c r="I33" s="121">
        <f>(44.18*250+2*(630178.54*0.3)+1079.93*250)+(956.7+139929+4471.72+594.22+1475.2)</f>
        <v>806561.46400000015</v>
      </c>
      <c r="J33" s="121">
        <f>44.18*250+(630178.54*0.3)+1079.93*250</f>
        <v>470081.06200000003</v>
      </c>
      <c r="K33" s="121">
        <f>(44.18*670+2*(630178.54*0.3)+1079.93*670)+(956.7+139929+4471.72+594.22+1475.2)</f>
        <v>1278687.6640000001</v>
      </c>
      <c r="L33" s="121">
        <f>44.18*670+(630178.54*0.3)+1079.93*670</f>
        <v>942207.2620000001</v>
      </c>
    </row>
    <row r="34" spans="2:12">
      <c r="B34" s="100"/>
      <c r="C34" s="100"/>
      <c r="D34" s="57" t="s">
        <v>59</v>
      </c>
      <c r="E34" s="119">
        <f>(44.18*15+2*(157903.11*0.3)+539.96*15)+(956.7+6568.32+4471.72+594.22+1475.2)</f>
        <v>117570.12599999999</v>
      </c>
      <c r="F34" s="122"/>
      <c r="G34" s="121">
        <f>(44.18*150+2*(157903.11*0.3)+539.96*150)+(956.7+6568.32+4471.72+594.22+1470.2)</f>
        <v>196424.02599999998</v>
      </c>
      <c r="H34" s="121">
        <f>44.18*150+(157903.11*0.3)+539.96*150</f>
        <v>134991.93299999999</v>
      </c>
      <c r="I34" s="121">
        <f>(44.18*250+2*(315806.44*0.3)+1079.93*250)+(956.7+6568.32+4471.72+594.22+1470.2)</f>
        <v>484572.52399999998</v>
      </c>
      <c r="J34" s="121">
        <f>44.18*250+(315806.44*0.3)+1079.93*250</f>
        <v>375769.43200000003</v>
      </c>
      <c r="K34" s="121">
        <f>(44.18*670+2*(315806.44*0.3)+1079.93*670)+(956.7+6568.32+4471.72+594.22+1470.2)</f>
        <v>956698.72400000016</v>
      </c>
      <c r="L34" s="121">
        <f>44.18*670+(315806.44*0.3)+1079.93*670</f>
        <v>847895.6320000001</v>
      </c>
    </row>
    <row r="35" spans="2:12">
      <c r="B35" s="100"/>
      <c r="C35" s="100" t="s">
        <v>60</v>
      </c>
      <c r="D35" s="57" t="s">
        <v>58</v>
      </c>
      <c r="E35" s="119">
        <f>(44.18*15+2*(315089.02*0.3))+(956.7+139929.77+594.22+1475.2)</f>
        <v>332672.00200000004</v>
      </c>
      <c r="F35" s="120">
        <v>550</v>
      </c>
      <c r="G35" s="121">
        <f>(44.18*150+2*(315089.02*0.3))+(956.7+139929+594.22+1475.2)</f>
        <v>338635.53200000001</v>
      </c>
      <c r="H35" s="121">
        <f>44.18*150+(315089.02*0.3)</f>
        <v>101153.70600000001</v>
      </c>
      <c r="I35" s="121">
        <f>(44.18*250+2*(630178.54*0.3))+(956.7+139929+594.22+1475.2)</f>
        <v>532107.24400000006</v>
      </c>
      <c r="J35" s="121">
        <f>44.18*250+(630178.54*0.3)</f>
        <v>200098.56200000001</v>
      </c>
      <c r="K35" s="121">
        <f>(44.18*670+2*(630178.54*0.3))+(956.7+139929+594.22+1475.2)</f>
        <v>550662.84400000004</v>
      </c>
      <c r="L35" s="121">
        <f>44.18*670+(630178.54*0.3)</f>
        <v>218654.16200000001</v>
      </c>
    </row>
    <row r="36" spans="2:12">
      <c r="B36" s="100"/>
      <c r="C36" s="100"/>
      <c r="D36" s="57" t="s">
        <v>59</v>
      </c>
      <c r="E36" s="119">
        <f>(44.18*15+2*(157903.11*0.3))+(956.7+6568.32+594.22+1475.2)</f>
        <v>104999.00599999999</v>
      </c>
      <c r="F36" s="123"/>
      <c r="G36" s="121">
        <f>(44.18*150+2*(157903.11*0.3))+(956.7+6568.32+594.22+1470.2)</f>
        <v>110958.306</v>
      </c>
      <c r="H36" s="121">
        <f>44.18*150+(157903.11*0.3)</f>
        <v>53997.932999999997</v>
      </c>
      <c r="I36" s="121">
        <f>(44.18*250+2*(315806.44*0.3))+(956.7+6568.32+594.22+1470.2)</f>
        <v>210118.304</v>
      </c>
      <c r="J36" s="121">
        <f>44.18*250+(315806.44*0.3)</f>
        <v>105786.932</v>
      </c>
      <c r="K36" s="121">
        <f>(44.18*670+2*(315806.44*0.3))+(956.7+6568.32+594.22+1470.2)</f>
        <v>228673.90400000001</v>
      </c>
      <c r="L36" s="121">
        <f>44.18*670+(315806.44*0.3)</f>
        <v>124342.53200000001</v>
      </c>
    </row>
    <row r="37" spans="2:12">
      <c r="B37" s="100" t="s">
        <v>261</v>
      </c>
      <c r="C37" s="100" t="s">
        <v>57</v>
      </c>
      <c r="D37" s="47" t="s">
        <v>58</v>
      </c>
      <c r="E37" s="119">
        <f>(44.18*15+2*(315089.02*0.5)+539.96*15)+(956.7+139929.77+4471.72+594.22+1475.2)</f>
        <v>471278.7300000001</v>
      </c>
      <c r="F37" s="120">
        <v>550</v>
      </c>
      <c r="G37" s="121">
        <f>(44.18*150+2*(315089.02*0.5)+539.96*150)+(956.7+139929+4471.72+594.22+1475.2)</f>
        <v>550136.8600000001</v>
      </c>
      <c r="H37" s="121">
        <f>44.18*150+(315089.02*0.5)+539.96*150</f>
        <v>245165.51</v>
      </c>
      <c r="I37" s="121">
        <f>(44.18*250+2*(630178.54*0.5)+1079.93*250)+(956.7+139929+4471.72+594.22+1475.2)</f>
        <v>1058632.8800000001</v>
      </c>
      <c r="J37" s="121">
        <f>44.18*250+(630178.54*0.5)+1079.93*250</f>
        <v>596116.77</v>
      </c>
      <c r="K37" s="121">
        <f>(44.18*670+2*(630178.54*0.5)+1079.93*670)+(956.7+139929+4471.72+594.22+1475.2)</f>
        <v>1530759.0800000003</v>
      </c>
      <c r="L37" s="121">
        <f>44.18*670+(630178.54*0.5)+1079.93*670</f>
        <v>1068242.9700000002</v>
      </c>
    </row>
    <row r="38" spans="2:12">
      <c r="B38" s="100"/>
      <c r="C38" s="100"/>
      <c r="D38" s="47" t="s">
        <v>59</v>
      </c>
      <c r="E38" s="119">
        <f>(44.18*15+2*(157903.11*0.5)+539.96*15)+(956.7+6568.32+4471.72+594.22+1475.2)</f>
        <v>180731.37</v>
      </c>
      <c r="F38" s="123"/>
      <c r="G38" s="121">
        <f>(44.18*150+2*(157903.11*0.5)+539.96*150)+(956.7+6568.32+4471.72+594.22+1470.2)</f>
        <v>259585.27</v>
      </c>
      <c r="H38" s="121">
        <f>44.18*150+(157903.11*0.5)+539.96*150</f>
        <v>166572.55499999999</v>
      </c>
      <c r="I38" s="121">
        <f>(44.18*250+2*(315806.44*0.5)+1079.93*250)+(956.7+6568.32+4471.72+594.22+1470.2)</f>
        <v>610895.1</v>
      </c>
      <c r="J38" s="121">
        <f>44.18*250+(315806.44*0.5)+1079.93*250</f>
        <v>438930.72</v>
      </c>
      <c r="K38" s="121">
        <f>(44.18*670+2*(315806.44*0.5)+1079.93*670)+(956.7+6568.32+4471.72+594.22+1470.2)</f>
        <v>1083021.3</v>
      </c>
      <c r="L38" s="121">
        <f>44.18*670+(315806.44*0.5)+1079.93*670</f>
        <v>911056.92000000016</v>
      </c>
    </row>
    <row r="39" spans="2:12">
      <c r="B39" s="100"/>
      <c r="C39" s="100" t="s">
        <v>60</v>
      </c>
      <c r="D39" s="47" t="s">
        <v>58</v>
      </c>
      <c r="E39" s="119">
        <f>(44.18*15+2*(315089.02*0.5))+(956.7+139929.77+594.22+1475.2)</f>
        <v>458707.61000000004</v>
      </c>
      <c r="F39" s="120">
        <v>550</v>
      </c>
      <c r="G39" s="121">
        <f>(44.18*150+2*(315089.02*0.5))+(956.7+139929+594.22+1475.2)</f>
        <v>464671.14</v>
      </c>
      <c r="H39" s="121">
        <f>44.18*150+(315089.02*0.5)</f>
        <v>164171.51</v>
      </c>
      <c r="I39" s="121">
        <f>(44.18*250+2*(630178.54*0.5))+(956.7+139929+594.22+1475.2)</f>
        <v>784178.66</v>
      </c>
      <c r="J39" s="121">
        <f>44.18*250+(630178.54*0.5)</f>
        <v>326134.27</v>
      </c>
      <c r="K39" s="121">
        <f>(44.18*670+2*(630178.54*0.5))+(956.7+139929+594.22+1475.2)</f>
        <v>802734.26</v>
      </c>
      <c r="L39" s="121">
        <f>44.18*670+(630178.54*0.5)</f>
        <v>344689.87</v>
      </c>
    </row>
    <row r="40" spans="2:12">
      <c r="B40" s="100"/>
      <c r="C40" s="100"/>
      <c r="D40" s="47" t="s">
        <v>59</v>
      </c>
      <c r="E40" s="119">
        <f>(44.18*15+2*(157903.11*0.5))+(956.7+6568.32+594.22+1475.2)</f>
        <v>168160.25</v>
      </c>
      <c r="F40" s="123"/>
      <c r="G40" s="121">
        <f>(44.18*150+2*(157903.11*0.5))+(956.7+6568.32+594.22+1470.2)</f>
        <v>174119.55</v>
      </c>
      <c r="H40" s="121">
        <f>44.18*150+(157903.11*0.5)</f>
        <v>85578.554999999993</v>
      </c>
      <c r="I40" s="121">
        <f>(44.18*250+2*(315806.44*0.5))+(956.7+6568.32+594.22+1470.2)</f>
        <v>336440.88</v>
      </c>
      <c r="J40" s="121">
        <f>44.18*250+(315806.44*0.5)</f>
        <v>168948.22</v>
      </c>
      <c r="K40" s="121">
        <f>(44.18*670+2*(315806.44*0.5))+(956.7+6568.32+594.22+1470.2)</f>
        <v>354996.47999999998</v>
      </c>
      <c r="L40" s="121">
        <f>44.18*670+(315806.44*0.5)</f>
        <v>187503.82</v>
      </c>
    </row>
    <row r="41" spans="2:12">
      <c r="B41" s="100">
        <v>750</v>
      </c>
      <c r="C41" s="100" t="s">
        <v>57</v>
      </c>
      <c r="D41" s="47" t="s">
        <v>58</v>
      </c>
      <c r="E41" s="119">
        <f>(44.18*15+2*(315089.02*0.75)+539.96*15)+(956.7+139929.77+4471.72+594.22+1475.2)</f>
        <v>628823.24000000011</v>
      </c>
      <c r="F41" s="119">
        <f>44.18*15+(315089.02*0.75)+539.96*15</f>
        <v>245078.86500000002</v>
      </c>
      <c r="G41" s="121">
        <f>(44.18*150+2*(315089.02*0.75)+539.96*150)+(956.7+139929+4471.72+594.22+1475.2)</f>
        <v>707681.37000000011</v>
      </c>
      <c r="H41" s="121">
        <f>44.18*150+(315089.02*0.75)+539.96*150</f>
        <v>323937.76500000001</v>
      </c>
      <c r="I41" s="121">
        <f>(44.18*250+2*(630178.54*0.75)+1079.93*250)+(956.7+139929+4471.72+594.22+1475.2)</f>
        <v>1373722.1500000001</v>
      </c>
      <c r="J41" s="121">
        <f>44.18*250+(630178.54*0.75)+1079.93*250</f>
        <v>753661.40500000003</v>
      </c>
      <c r="K41" s="121">
        <f>(44.18*670+2*(630178.54*0.75)+1079.93*670)+(956.7+139929+4471.72+594.22+1475.2)</f>
        <v>1845848.3500000003</v>
      </c>
      <c r="L41" s="121">
        <f>44.18*670+(630178.54*0.75)+1079.93*670</f>
        <v>1225787.605</v>
      </c>
    </row>
    <row r="42" spans="2:12">
      <c r="B42" s="100"/>
      <c r="C42" s="100"/>
      <c r="D42" s="47" t="s">
        <v>59</v>
      </c>
      <c r="E42" s="119">
        <f>(44.18*15+2*(157903.11*0.75)+539.96*15)+(956.7+6568.32+4471.72+594.22+1475.2)</f>
        <v>259682.92499999999</v>
      </c>
      <c r="F42" s="119">
        <f>44.18*15+(157903.11*0.75)+539.96*15</f>
        <v>127189.43249999998</v>
      </c>
      <c r="G42" s="121">
        <f>(44.18*150+2*(157903.11*0.75)+539.96*150)+(956.7+6568.32+4471.72+594.22+1470.2)</f>
        <v>338536.82499999995</v>
      </c>
      <c r="H42" s="121">
        <f>44.18*150+(157903.11*0.75)+539.96*150</f>
        <v>206048.33249999999</v>
      </c>
      <c r="I42" s="121">
        <f>(44.18*250+2*(315806.44*0.75)+1079.93*250)+(956.7+6568.32+4471.72+594.22+1470.2)</f>
        <v>768798.32000000007</v>
      </c>
      <c r="J42" s="121">
        <f>44.18*250+(315806.44*0.75)+1079.93*250</f>
        <v>517882.33</v>
      </c>
      <c r="K42" s="121">
        <f>(44.18*670+2*(315806.44*0.75)+1079.93*670)+(956.7+6568.32+4471.72+594.22+1470.2)</f>
        <v>1240924.52</v>
      </c>
      <c r="L42" s="121">
        <f>44.18*670+(315806.44*0.75)+1079.93*670</f>
        <v>990008.53</v>
      </c>
    </row>
    <row r="43" spans="2:12">
      <c r="B43" s="100"/>
      <c r="C43" s="100" t="s">
        <v>60</v>
      </c>
      <c r="D43" s="47" t="s">
        <v>58</v>
      </c>
      <c r="E43" s="119">
        <f>(44.18*15+2*(315089.02*0.75))+(956.7+139929.77+594.22+1475.2)</f>
        <v>616252.12000000011</v>
      </c>
      <c r="F43" s="119">
        <f>44.18*15+(315089.02*0.75)</f>
        <v>236979.46500000003</v>
      </c>
      <c r="G43" s="121">
        <f>(44.18*150+2*(315089.02*0.75))+(956.7+139929+594.22+1475.2)</f>
        <v>622215.65</v>
      </c>
      <c r="H43" s="121">
        <f>44.18*150+(315089.02*0.75)</f>
        <v>242943.76500000001</v>
      </c>
      <c r="I43" s="121">
        <f>(44.18*250+2*(630178.54*0.75))+(956.7+139929+594.22+1475.2)</f>
        <v>1099267.9300000002</v>
      </c>
      <c r="J43" s="121">
        <f>44.18*250+(630178.54*0.75)</f>
        <v>483678.90500000003</v>
      </c>
      <c r="K43" s="121">
        <f>(44.18*670+2*(630178.54*0.75))+(956.7+139929+594.22+1475.2)</f>
        <v>1117823.53</v>
      </c>
      <c r="L43" s="121">
        <f>44.18*670+(630178.54*0.75)</f>
        <v>502234.505</v>
      </c>
    </row>
    <row r="44" spans="2:12">
      <c r="B44" s="100"/>
      <c r="C44" s="100"/>
      <c r="D44" s="47" t="s">
        <v>59</v>
      </c>
      <c r="E44" s="119">
        <f>(44.18*15+2*(157903.11*0.75))+(956.7+6568.32+594.22+1475.2)</f>
        <v>247111.80499999999</v>
      </c>
      <c r="F44" s="119">
        <f>44.18*15+(157903.11*0.75)</f>
        <v>119090.03249999999</v>
      </c>
      <c r="G44" s="121">
        <f>(44.18*150+2*(157903.11*0.75))+(956.7+6568.32+594.22+1470.2)</f>
        <v>253071.10499999998</v>
      </c>
      <c r="H44" s="121">
        <f>44.18*150+(157903.11*0.75)</f>
        <v>125054.33249999999</v>
      </c>
      <c r="I44" s="121">
        <f>(44.18*250+2*(315806.44*0.75))+(956.7+6568.32+594.22+1470.2)</f>
        <v>494344.10000000003</v>
      </c>
      <c r="J44" s="121">
        <f>44.18*250+(315806.44*0.75)</f>
        <v>247899.83000000002</v>
      </c>
      <c r="K44" s="121">
        <f>(44.18*670+2*(315806.44*0.75))+(956.7+6568.32+594.22+1470.2)</f>
        <v>512899.7</v>
      </c>
      <c r="L44" s="121">
        <f>44.18*670+(315806.44*0.75)</f>
        <v>266455.43</v>
      </c>
    </row>
    <row r="45" spans="2:12">
      <c r="B45" s="100">
        <v>1000</v>
      </c>
      <c r="C45" s="100" t="s">
        <v>57</v>
      </c>
      <c r="D45" s="47" t="s">
        <v>58</v>
      </c>
      <c r="E45" s="119">
        <f>(44.18*15+2*(315089.02*1)+539.96*15)+(956.7+139929.77+4471.72+594.22+1475.2)</f>
        <v>786367.75</v>
      </c>
      <c r="F45" s="119">
        <f>44.18*15+(315089.02*1)+539.96*15</f>
        <v>323851.12000000005</v>
      </c>
      <c r="G45" s="121">
        <f>(44.18*150+2*(315089.02*1)+539.96*150)+(956.7+139929+4471.72+594.22+1475.2)</f>
        <v>865225.88000000012</v>
      </c>
      <c r="H45" s="121">
        <f>44.18*150+(315089.02*1)+539.96*150</f>
        <v>402710.02</v>
      </c>
      <c r="I45" s="121">
        <f>(44.18*250+2*(630178.54*1)+1079.93*250)+(956.7+139929+4471.72+594.22+1475.2)</f>
        <v>1688811.4200000002</v>
      </c>
      <c r="J45" s="121">
        <f>44.18*250+(630178.54*1)+1079.93*250</f>
        <v>911206.04</v>
      </c>
      <c r="K45" s="121">
        <f>(44.18*670+2*(630178.54*1)+1079.93*670)+(956.7+139929+4471.72+594.22+1475.2)</f>
        <v>2160937.62</v>
      </c>
      <c r="L45" s="121">
        <f>44.18*670+(630178.54*1)+1079.93*670</f>
        <v>1383332.2400000002</v>
      </c>
    </row>
    <row r="46" spans="2:12">
      <c r="B46" s="100"/>
      <c r="C46" s="100"/>
      <c r="D46" s="47" t="s">
        <v>59</v>
      </c>
      <c r="E46" s="119">
        <f>(44.18*15+2*(157903.11*1)+539.96*15)+(956.7+6568.32+4471.72+594.22+1475.2)</f>
        <v>338634.48</v>
      </c>
      <c r="F46" s="119">
        <f>44.18*15+(157903.11*1)+539.96*15</f>
        <v>166665.21</v>
      </c>
      <c r="G46" s="121">
        <f>(44.18*150+2*(157903.11*1)+539.96*150)+(956.7+6568.32+4471.72+594.22+1470.2)</f>
        <v>417488.37999999995</v>
      </c>
      <c r="H46" s="121">
        <f>44.18*150+(157903.11*1)+539.96*150</f>
        <v>245524.11</v>
      </c>
      <c r="I46" s="121">
        <f>(44.18*250+2*(315806.44*1)+1079.93*250)+(956.7+6568.32+4471.72+594.22+1470.2)</f>
        <v>926701.54</v>
      </c>
      <c r="J46" s="121">
        <f>44.18*250+(315806.44*1)+1079.93*250</f>
        <v>596833.93999999994</v>
      </c>
      <c r="K46" s="121">
        <f>(44.18*670+2*(315806.44*1)+1079.93*670)+(956.7+6568.32+4471.72+594.22+1470.2)</f>
        <v>1398827.74</v>
      </c>
      <c r="L46" s="121">
        <f>44.18*670+(315806.44*1)+1079.93*670</f>
        <v>1068960.1400000001</v>
      </c>
    </row>
    <row r="47" spans="2:12">
      <c r="B47" s="100"/>
      <c r="C47" s="100" t="s">
        <v>60</v>
      </c>
      <c r="D47" s="47" t="s">
        <v>58</v>
      </c>
      <c r="E47" s="119">
        <f>(44.18*15+2*(315089.02*1))+(956.7+139929.77+594.22+1475.2)</f>
        <v>773796.63</v>
      </c>
      <c r="F47" s="119">
        <f>44.18*15+(315089.02*1)</f>
        <v>315751.72000000003</v>
      </c>
      <c r="G47" s="121">
        <f>(44.18*150+2*(315089.02*1))+(956.7+139929+594.22+1475.2)</f>
        <v>779760.16</v>
      </c>
      <c r="H47" s="121">
        <f>44.18*150+(315089.02*1)</f>
        <v>321716.02</v>
      </c>
      <c r="I47" s="121">
        <f>(44.18*250+2*(630178.54*1))+(956.7+139929+594.22+1475.2)</f>
        <v>1414357.2000000002</v>
      </c>
      <c r="J47" s="121">
        <f>44.18*250+(630178.54*1)</f>
        <v>641223.54</v>
      </c>
      <c r="K47" s="121">
        <f>(44.18*670+2*(630178.54*1))+(956.7+139929+594.22+1475.2)</f>
        <v>1432912.8000000003</v>
      </c>
      <c r="L47" s="121">
        <f>44.18*250+(630178.54*1)</f>
        <v>641223.54</v>
      </c>
    </row>
    <row r="48" spans="2:12">
      <c r="B48" s="100"/>
      <c r="C48" s="100"/>
      <c r="D48" s="47" t="s">
        <v>59</v>
      </c>
      <c r="E48" s="119">
        <f>(44.18*15+2*(157903.11*1))+(956.7+6568.32+594.22+1475.2)</f>
        <v>326063.35999999999</v>
      </c>
      <c r="F48" s="119">
        <f>44.18*15+(157903.11*1)</f>
        <v>158565.81</v>
      </c>
      <c r="G48" s="121">
        <f>(44.18*150+2*(157903.11*1))+(956.7+6568.32+594.22+1470.2)</f>
        <v>332022.65999999997</v>
      </c>
      <c r="H48" s="121">
        <f>44.18*150+(157903.11*1)</f>
        <v>164530.10999999999</v>
      </c>
      <c r="I48" s="121">
        <f>(44.18*250+2*(315806.44*1))+(956.7+6568.32+594.22+1470.2)</f>
        <v>652247.31999999995</v>
      </c>
      <c r="J48" s="121">
        <f>44.18*250+(315806.44*1)</f>
        <v>326851.44</v>
      </c>
      <c r="K48" s="121">
        <f>(44.18*670+2*(315806.44*1))+(956.7+6568.32+594.22+1470.2)</f>
        <v>670802.91999999993</v>
      </c>
      <c r="L48" s="121">
        <f>44.18*250+(315806.44*1)</f>
        <v>326851.44</v>
      </c>
    </row>
    <row r="49" spans="2:12">
      <c r="B49" s="100">
        <v>1250</v>
      </c>
      <c r="C49" s="100" t="s">
        <v>57</v>
      </c>
      <c r="D49" s="47" t="s">
        <v>58</v>
      </c>
      <c r="E49" s="119">
        <f>(44.18*15+2*(315089.02*1.25)+539.96*15)+(956.7+139929.77+4471.72+594.22+1475.2)</f>
        <v>943912.26</v>
      </c>
      <c r="F49" s="119">
        <f>44.18*15+(315089.02*1.25)+539.96*15</f>
        <v>402623.37500000006</v>
      </c>
      <c r="G49" s="121">
        <f>(44.18*150+2*(315089.02*1.25)+539.96*150)+(956.7+139929+4471.72+594.22+1475.2)</f>
        <v>1022770.3900000001</v>
      </c>
      <c r="H49" s="121">
        <f>44.18*150+(315089.02*1.25)+539.96*150</f>
        <v>481482.27500000002</v>
      </c>
      <c r="I49" s="121">
        <f>(44.18*250+2*(630178.54*1.25)+1079.93*250)+(956.7+139929+4471.72+594.22+1475.2)</f>
        <v>2003900.6900000002</v>
      </c>
      <c r="J49" s="121">
        <f>44.18*250+(630178.54*1.25)+1079.93*250</f>
        <v>1068750.675</v>
      </c>
      <c r="K49" s="121">
        <f>(44.18*670+2*(630178.54*1.25)+1079.93*670)+(956.7+139929+4471.72+594.22+1475.2)</f>
        <v>2476026.89</v>
      </c>
      <c r="L49" s="121">
        <f>44.18*670+(630178.54*1.25)+1079.93*670</f>
        <v>1540876.875</v>
      </c>
    </row>
    <row r="50" spans="2:12">
      <c r="B50" s="100"/>
      <c r="C50" s="100"/>
      <c r="D50" s="47" t="s">
        <v>59</v>
      </c>
      <c r="E50" s="119">
        <f>(44.18*15+2*(157903.11*1.25)+539.96*15)+(956.7+6568.32+4471.72+594.22+1475.2)</f>
        <v>417586.03499999997</v>
      </c>
      <c r="F50" s="119">
        <f>44.18*15+(157903.11*1.25)+539.96*15</f>
        <v>206140.98749999999</v>
      </c>
      <c r="G50" s="121">
        <f>(44.18*150+2*(157903.11*1.25)+539.96*150)+(956.7+6568.32+4471.72+594.22+1470.2)</f>
        <v>496439.93499999994</v>
      </c>
      <c r="H50" s="121">
        <f>44.18*150+(157903.11*1.25)+539.96*150</f>
        <v>284999.88749999995</v>
      </c>
      <c r="I50" s="121">
        <f>(44.18*250+2*(315806.44*1.25)+1079.93*250)+(956.7+6568.32+4471.72+594.22+1470.2)</f>
        <v>1084604.76</v>
      </c>
      <c r="J50" s="121">
        <f>44.18*250+(315806.44*1.25)+1079.93*250</f>
        <v>675785.55</v>
      </c>
      <c r="K50" s="121">
        <f>(44.18*670+2*(315806.44*1.25)+1079.93*670)+(956.7+6568.32+4471.72+594.22+1470.2)</f>
        <v>1556730.96</v>
      </c>
      <c r="L50" s="121">
        <f>44.18*670+(315806.44*1.25)+1079.93*670</f>
        <v>1147911.75</v>
      </c>
    </row>
    <row r="51" spans="2:12">
      <c r="B51" s="100"/>
      <c r="C51" s="100" t="s">
        <v>60</v>
      </c>
      <c r="D51" s="47" t="s">
        <v>58</v>
      </c>
      <c r="E51" s="119">
        <f>(44.18*15+2*(315089.02*1.25))+(956.7+139929.77+594.22+1475.2)</f>
        <v>931341.14</v>
      </c>
      <c r="F51" s="119">
        <f>44.18*15+(315089.02*1.25)</f>
        <v>394523.97500000003</v>
      </c>
      <c r="G51" s="121">
        <f>(44.18*150+2*(315089.02*1.25))+(956.7+139929+594.22+1475.2)</f>
        <v>937304.67</v>
      </c>
      <c r="H51" s="121">
        <f>44.18*150+(315089.02*1.25)</f>
        <v>400488.27500000002</v>
      </c>
      <c r="I51" s="121">
        <f>(44.18*250+2*(630178.54*1.25))+(956.7+139929+594.22+1475.2)</f>
        <v>1729446.4700000002</v>
      </c>
      <c r="J51" s="121">
        <f>44.18*250+(630178.54*1.25)</f>
        <v>798768.17500000005</v>
      </c>
      <c r="K51" s="121">
        <f>(44.18*670+2*(630178.54*1.25))+(956.7+139929+594.22+1475.2)</f>
        <v>1748002.0700000003</v>
      </c>
      <c r="L51" s="121">
        <f>44.18*250+(630178.54*1.25)</f>
        <v>798768.17500000005</v>
      </c>
    </row>
    <row r="52" spans="2:12">
      <c r="B52" s="100"/>
      <c r="C52" s="100"/>
      <c r="D52" s="47" t="s">
        <v>59</v>
      </c>
      <c r="E52" s="119">
        <f>(44.18*15+2*(157903.11*1.25))+(956.7+6568.32+594.22+1475.2)</f>
        <v>405014.91499999998</v>
      </c>
      <c r="F52" s="119">
        <f>44.18*15+(157903.11*1.25)</f>
        <v>198041.58749999999</v>
      </c>
      <c r="G52" s="121">
        <f>(44.18*150+2*(157903.11*1.25))+(956.7+6568.32+594.22+1470.2)</f>
        <v>410974.21499999997</v>
      </c>
      <c r="H52" s="121">
        <f>44.18*150+(157903.11*1.25)</f>
        <v>204005.88749999998</v>
      </c>
      <c r="I52" s="121">
        <f>(44.18*250+2*(315806.44*1.25))+(956.7+6568.32+594.22+1470.2)</f>
        <v>810150.53999999992</v>
      </c>
      <c r="J52" s="121">
        <f>44.18*250+(315806.44*1.25)</f>
        <v>405803.05</v>
      </c>
      <c r="K52" s="121">
        <f>(44.18*670+2*(315806.44*1.25))+(956.7+6568.32+594.22+1470.2)</f>
        <v>828706.1399999999</v>
      </c>
      <c r="L52" s="121">
        <f>44.18*250+(315806.44*1.25)</f>
        <v>405803.05</v>
      </c>
    </row>
    <row r="54" spans="2:12">
      <c r="B54" s="124" t="s">
        <v>264</v>
      </c>
      <c r="C54" s="29"/>
      <c r="D54" s="125"/>
    </row>
  </sheetData>
  <mergeCells count="45">
    <mergeCell ref="F37:F38"/>
    <mergeCell ref="F39:F40"/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C47:C48"/>
    <mergeCell ref="A28:R28"/>
    <mergeCell ref="A3:R3"/>
    <mergeCell ref="A4:R4"/>
    <mergeCell ref="A8:R8"/>
    <mergeCell ref="R11:R12"/>
    <mergeCell ref="A5:R5"/>
    <mergeCell ref="A6:R6"/>
    <mergeCell ref="A7:R7"/>
    <mergeCell ref="A29:R29"/>
    <mergeCell ref="C45:C46"/>
    <mergeCell ref="B33:B36"/>
    <mergeCell ref="C33:C34"/>
    <mergeCell ref="C35:C36"/>
    <mergeCell ref="F33:F34"/>
    <mergeCell ref="F35:F36"/>
    <mergeCell ref="B49:B52"/>
    <mergeCell ref="C49:C50"/>
    <mergeCell ref="C51:C52"/>
    <mergeCell ref="K30:L30"/>
    <mergeCell ref="B37:B40"/>
    <mergeCell ref="C37:C38"/>
    <mergeCell ref="C39:C40"/>
    <mergeCell ref="B41:B44"/>
    <mergeCell ref="C41:C42"/>
    <mergeCell ref="C43:C44"/>
    <mergeCell ref="B31:D31"/>
    <mergeCell ref="B30:D30"/>
    <mergeCell ref="E30:F30"/>
    <mergeCell ref="G30:H30"/>
    <mergeCell ref="I30:J30"/>
    <mergeCell ref="B45:B48"/>
  </mergeCells>
  <pageMargins left="0.7" right="0.7" top="0.75" bottom="0.75" header="0.3" footer="0.3"/>
  <pageSetup paperSize="9" scale="34" orientation="landscape" horizontalDpi="180" verticalDpi="180" r:id="rId1"/>
  <rowBreaks count="1" manualBreakCount="1">
    <brk id="54" max="17" man="1"/>
  </rowBreaks>
  <ignoredErrors>
    <ignoredError sqref="K47:K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workbookViewId="0">
      <selection activeCell="A3" sqref="A3:Q3"/>
    </sheetView>
  </sheetViews>
  <sheetFormatPr defaultColWidth="12.28515625" defaultRowHeight="15"/>
  <cols>
    <col min="1" max="1" width="5.85546875" style="11" customWidth="1"/>
    <col min="2" max="2" width="27" style="8" customWidth="1"/>
    <col min="3" max="3" width="17.28515625" style="8" customWidth="1"/>
    <col min="4" max="4" width="13.5703125" style="8" customWidth="1"/>
    <col min="5" max="5" width="12.28515625" style="8"/>
    <col min="6" max="6" width="9.42578125" style="8" customWidth="1"/>
    <col min="7" max="7" width="17" style="8" customWidth="1"/>
    <col min="8" max="8" width="13.5703125" style="8" customWidth="1"/>
    <col min="9" max="9" width="10" style="8" customWidth="1"/>
    <col min="10" max="10" width="12.140625" style="8" customWidth="1"/>
    <col min="11" max="11" width="14.140625" style="8" customWidth="1"/>
    <col min="12" max="12" width="9.140625" style="8" customWidth="1"/>
    <col min="13" max="13" width="9.5703125" style="8" customWidth="1"/>
    <col min="14" max="14" width="10.7109375" style="8" customWidth="1"/>
    <col min="15" max="16384" width="12.28515625" style="8"/>
  </cols>
  <sheetData>
    <row r="1" spans="1:17" ht="15.75">
      <c r="A1" s="112" t="s">
        <v>252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3" spans="1:17" ht="51" customHeight="1">
      <c r="A3" s="104" t="s">
        <v>135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5" customFormat="1">
      <c r="A4" s="77" t="s">
        <v>137</v>
      </c>
      <c r="B4" s="113" t="s">
        <v>61</v>
      </c>
      <c r="C4" s="113" t="s">
        <v>62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5" customFormat="1" ht="36" customHeight="1">
      <c r="A5" s="77"/>
      <c r="B5" s="113"/>
      <c r="C5" s="108" t="s">
        <v>63</v>
      </c>
      <c r="D5" s="108"/>
      <c r="E5" s="108"/>
      <c r="F5" s="108" t="s">
        <v>64</v>
      </c>
      <c r="G5" s="108"/>
      <c r="H5" s="108"/>
      <c r="I5" s="108" t="s">
        <v>65</v>
      </c>
      <c r="J5" s="108"/>
      <c r="K5" s="108"/>
      <c r="L5" s="108" t="s">
        <v>66</v>
      </c>
      <c r="M5" s="108"/>
      <c r="N5" s="108"/>
      <c r="O5" s="108" t="s">
        <v>67</v>
      </c>
      <c r="P5" s="108"/>
      <c r="Q5" s="108"/>
    </row>
    <row r="6" spans="1:17" s="5" customFormat="1" ht="51.75" customHeight="1">
      <c r="A6" s="77"/>
      <c r="B6" s="113"/>
      <c r="C6" s="9" t="s">
        <v>3</v>
      </c>
      <c r="D6" s="9" t="s">
        <v>136</v>
      </c>
      <c r="E6" s="9" t="s">
        <v>5</v>
      </c>
      <c r="F6" s="9" t="s">
        <v>3</v>
      </c>
      <c r="G6" s="9" t="s">
        <v>136</v>
      </c>
      <c r="H6" s="9" t="s">
        <v>5</v>
      </c>
      <c r="I6" s="9" t="s">
        <v>3</v>
      </c>
      <c r="J6" s="9" t="s">
        <v>136</v>
      </c>
      <c r="K6" s="9" t="s">
        <v>5</v>
      </c>
      <c r="L6" s="9" t="s">
        <v>3</v>
      </c>
      <c r="M6" s="9" t="s">
        <v>136</v>
      </c>
      <c r="N6" s="9" t="s">
        <v>5</v>
      </c>
      <c r="O6" s="9" t="s">
        <v>3</v>
      </c>
      <c r="P6" s="9" t="s">
        <v>136</v>
      </c>
      <c r="Q6" s="9" t="s">
        <v>5</v>
      </c>
    </row>
    <row r="7" spans="1:17" s="5" customFormat="1">
      <c r="A7" s="1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</row>
    <row r="8" spans="1:17" s="5" customFormat="1" ht="30">
      <c r="A8" s="10">
        <v>1</v>
      </c>
      <c r="B8" s="12" t="s">
        <v>68</v>
      </c>
      <c r="C8" s="9" t="s">
        <v>159</v>
      </c>
      <c r="D8" s="9" t="s">
        <v>159</v>
      </c>
      <c r="E8" s="9" t="s">
        <v>159</v>
      </c>
      <c r="F8" s="9" t="s">
        <v>159</v>
      </c>
      <c r="G8" s="9" t="s">
        <v>159</v>
      </c>
      <c r="H8" s="9" t="s">
        <v>159</v>
      </c>
      <c r="I8" s="9" t="s">
        <v>159</v>
      </c>
      <c r="J8" s="9" t="s">
        <v>159</v>
      </c>
      <c r="K8" s="9" t="s">
        <v>159</v>
      </c>
      <c r="L8" s="9" t="s">
        <v>159</v>
      </c>
      <c r="M8" s="9" t="s">
        <v>159</v>
      </c>
      <c r="N8" s="9" t="s">
        <v>159</v>
      </c>
      <c r="O8" s="9" t="s">
        <v>159</v>
      </c>
      <c r="P8" s="9" t="s">
        <v>159</v>
      </c>
      <c r="Q8" s="9" t="s">
        <v>159</v>
      </c>
    </row>
    <row r="9" spans="1:17" ht="30">
      <c r="A9" s="10" t="s">
        <v>138</v>
      </c>
      <c r="B9" s="13" t="s">
        <v>69</v>
      </c>
      <c r="C9" s="9" t="s">
        <v>159</v>
      </c>
      <c r="D9" s="9" t="s">
        <v>159</v>
      </c>
      <c r="E9" s="9" t="s">
        <v>159</v>
      </c>
      <c r="F9" s="9" t="s">
        <v>159</v>
      </c>
      <c r="G9" s="9" t="s">
        <v>159</v>
      </c>
      <c r="H9" s="9" t="s">
        <v>159</v>
      </c>
      <c r="I9" s="9" t="s">
        <v>159</v>
      </c>
      <c r="J9" s="9" t="s">
        <v>159</v>
      </c>
      <c r="K9" s="9" t="s">
        <v>159</v>
      </c>
      <c r="L9" s="9" t="s">
        <v>159</v>
      </c>
      <c r="M9" s="9" t="s">
        <v>159</v>
      </c>
      <c r="N9" s="9" t="s">
        <v>159</v>
      </c>
      <c r="O9" s="9" t="s">
        <v>159</v>
      </c>
      <c r="P9" s="9" t="s">
        <v>159</v>
      </c>
      <c r="Q9" s="9" t="s">
        <v>159</v>
      </c>
    </row>
    <row r="10" spans="1:17" ht="45">
      <c r="A10" s="10" t="s">
        <v>139</v>
      </c>
      <c r="B10" s="13" t="s">
        <v>70</v>
      </c>
      <c r="C10" s="9" t="s">
        <v>159</v>
      </c>
      <c r="D10" s="9" t="s">
        <v>159</v>
      </c>
      <c r="E10" s="9" t="s">
        <v>159</v>
      </c>
      <c r="F10" s="9" t="s">
        <v>159</v>
      </c>
      <c r="G10" s="9" t="s">
        <v>159</v>
      </c>
      <c r="H10" s="9" t="s">
        <v>159</v>
      </c>
      <c r="I10" s="9" t="s">
        <v>159</v>
      </c>
      <c r="J10" s="9" t="s">
        <v>159</v>
      </c>
      <c r="K10" s="9" t="s">
        <v>159</v>
      </c>
      <c r="L10" s="9" t="s">
        <v>159</v>
      </c>
      <c r="M10" s="9" t="s">
        <v>159</v>
      </c>
      <c r="N10" s="9" t="s">
        <v>159</v>
      </c>
      <c r="O10" s="9" t="s">
        <v>159</v>
      </c>
      <c r="P10" s="9" t="s">
        <v>159</v>
      </c>
      <c r="Q10" s="9" t="s">
        <v>159</v>
      </c>
    </row>
    <row r="11" spans="1:17" ht="30">
      <c r="A11" s="10" t="s">
        <v>140</v>
      </c>
      <c r="B11" s="13" t="s">
        <v>71</v>
      </c>
      <c r="C11" s="9" t="s">
        <v>159</v>
      </c>
      <c r="D11" s="9" t="s">
        <v>159</v>
      </c>
      <c r="E11" s="9" t="s">
        <v>159</v>
      </c>
      <c r="F11" s="9" t="s">
        <v>159</v>
      </c>
      <c r="G11" s="9" t="s">
        <v>159</v>
      </c>
      <c r="H11" s="9" t="s">
        <v>159</v>
      </c>
      <c r="I11" s="9" t="s">
        <v>159</v>
      </c>
      <c r="J11" s="9" t="s">
        <v>159</v>
      </c>
      <c r="K11" s="9" t="s">
        <v>159</v>
      </c>
      <c r="L11" s="9" t="s">
        <v>159</v>
      </c>
      <c r="M11" s="9" t="s">
        <v>159</v>
      </c>
      <c r="N11" s="9" t="s">
        <v>159</v>
      </c>
      <c r="O11" s="9" t="s">
        <v>159</v>
      </c>
      <c r="P11" s="9" t="s">
        <v>159</v>
      </c>
      <c r="Q11" s="9" t="s">
        <v>159</v>
      </c>
    </row>
    <row r="12" spans="1:17">
      <c r="A12" s="10" t="s">
        <v>141</v>
      </c>
      <c r="B12" s="13" t="s">
        <v>72</v>
      </c>
      <c r="C12" s="9" t="s">
        <v>159</v>
      </c>
      <c r="D12" s="9" t="s">
        <v>159</v>
      </c>
      <c r="E12" s="9" t="s">
        <v>159</v>
      </c>
      <c r="F12" s="9" t="s">
        <v>159</v>
      </c>
      <c r="G12" s="9" t="s">
        <v>159</v>
      </c>
      <c r="H12" s="9" t="s">
        <v>159</v>
      </c>
      <c r="I12" s="9" t="s">
        <v>159</v>
      </c>
      <c r="J12" s="9" t="s">
        <v>159</v>
      </c>
      <c r="K12" s="9" t="s">
        <v>159</v>
      </c>
      <c r="L12" s="9" t="s">
        <v>159</v>
      </c>
      <c r="M12" s="9" t="s">
        <v>159</v>
      </c>
      <c r="N12" s="9" t="s">
        <v>159</v>
      </c>
      <c r="O12" s="9" t="s">
        <v>159</v>
      </c>
      <c r="P12" s="9" t="s">
        <v>159</v>
      </c>
      <c r="Q12" s="9" t="s">
        <v>159</v>
      </c>
    </row>
    <row r="13" spans="1:17" ht="30">
      <c r="A13" s="10" t="s">
        <v>142</v>
      </c>
      <c r="B13" s="13" t="s">
        <v>73</v>
      </c>
      <c r="C13" s="9" t="s">
        <v>159</v>
      </c>
      <c r="D13" s="9" t="s">
        <v>159</v>
      </c>
      <c r="E13" s="9" t="s">
        <v>159</v>
      </c>
      <c r="F13" s="9" t="s">
        <v>159</v>
      </c>
      <c r="G13" s="9" t="s">
        <v>159</v>
      </c>
      <c r="H13" s="9" t="s">
        <v>159</v>
      </c>
      <c r="I13" s="9" t="s">
        <v>159</v>
      </c>
      <c r="J13" s="9" t="s">
        <v>159</v>
      </c>
      <c r="K13" s="9" t="s">
        <v>159</v>
      </c>
      <c r="L13" s="9" t="s">
        <v>159</v>
      </c>
      <c r="M13" s="9" t="s">
        <v>159</v>
      </c>
      <c r="N13" s="9" t="s">
        <v>159</v>
      </c>
      <c r="O13" s="9" t="s">
        <v>159</v>
      </c>
      <c r="P13" s="9" t="s">
        <v>159</v>
      </c>
      <c r="Q13" s="9" t="s">
        <v>159</v>
      </c>
    </row>
    <row r="14" spans="1:17">
      <c r="A14" s="10" t="s">
        <v>143</v>
      </c>
      <c r="B14" s="13" t="s">
        <v>74</v>
      </c>
      <c r="C14" s="9" t="s">
        <v>159</v>
      </c>
      <c r="D14" s="9" t="s">
        <v>159</v>
      </c>
      <c r="E14" s="9" t="s">
        <v>159</v>
      </c>
      <c r="F14" s="9" t="s">
        <v>159</v>
      </c>
      <c r="G14" s="9" t="s">
        <v>159</v>
      </c>
      <c r="H14" s="9" t="s">
        <v>159</v>
      </c>
      <c r="I14" s="9" t="s">
        <v>159</v>
      </c>
      <c r="J14" s="9" t="s">
        <v>159</v>
      </c>
      <c r="K14" s="9" t="s">
        <v>159</v>
      </c>
      <c r="L14" s="9" t="s">
        <v>159</v>
      </c>
      <c r="M14" s="9" t="s">
        <v>159</v>
      </c>
      <c r="N14" s="9" t="s">
        <v>159</v>
      </c>
      <c r="O14" s="9" t="s">
        <v>159</v>
      </c>
      <c r="P14" s="9" t="s">
        <v>159</v>
      </c>
      <c r="Q14" s="9" t="s">
        <v>159</v>
      </c>
    </row>
    <row r="15" spans="1:17">
      <c r="A15" s="10" t="s">
        <v>144</v>
      </c>
      <c r="B15" s="13" t="s">
        <v>75</v>
      </c>
      <c r="C15" s="9" t="s">
        <v>159</v>
      </c>
      <c r="D15" s="9" t="s">
        <v>159</v>
      </c>
      <c r="E15" s="9" t="s">
        <v>159</v>
      </c>
      <c r="F15" s="9" t="s">
        <v>159</v>
      </c>
      <c r="G15" s="9" t="s">
        <v>159</v>
      </c>
      <c r="H15" s="9" t="s">
        <v>159</v>
      </c>
      <c r="I15" s="9" t="s">
        <v>159</v>
      </c>
      <c r="J15" s="9" t="s">
        <v>159</v>
      </c>
      <c r="K15" s="9" t="s">
        <v>159</v>
      </c>
      <c r="L15" s="9" t="s">
        <v>159</v>
      </c>
      <c r="M15" s="9" t="s">
        <v>159</v>
      </c>
      <c r="N15" s="9" t="s">
        <v>159</v>
      </c>
      <c r="O15" s="9" t="s">
        <v>159</v>
      </c>
      <c r="P15" s="9" t="s">
        <v>159</v>
      </c>
      <c r="Q15" s="9" t="s">
        <v>159</v>
      </c>
    </row>
    <row r="16" spans="1:17" ht="45">
      <c r="A16" s="10" t="s">
        <v>145</v>
      </c>
      <c r="B16" s="13" t="s">
        <v>76</v>
      </c>
      <c r="C16" s="9" t="s">
        <v>159</v>
      </c>
      <c r="D16" s="9" t="s">
        <v>159</v>
      </c>
      <c r="E16" s="9" t="s">
        <v>159</v>
      </c>
      <c r="F16" s="9" t="s">
        <v>159</v>
      </c>
      <c r="G16" s="9" t="s">
        <v>159</v>
      </c>
      <c r="H16" s="9" t="s">
        <v>159</v>
      </c>
      <c r="I16" s="9" t="s">
        <v>159</v>
      </c>
      <c r="J16" s="9" t="s">
        <v>159</v>
      </c>
      <c r="K16" s="9" t="s">
        <v>159</v>
      </c>
      <c r="L16" s="9" t="s">
        <v>159</v>
      </c>
      <c r="M16" s="9" t="s">
        <v>159</v>
      </c>
      <c r="N16" s="9" t="s">
        <v>159</v>
      </c>
      <c r="O16" s="9" t="s">
        <v>159</v>
      </c>
      <c r="P16" s="9" t="s">
        <v>159</v>
      </c>
      <c r="Q16" s="9" t="s">
        <v>159</v>
      </c>
    </row>
    <row r="17" spans="1:17" ht="30">
      <c r="A17" s="10" t="s">
        <v>146</v>
      </c>
      <c r="B17" s="13" t="s">
        <v>77</v>
      </c>
      <c r="C17" s="9" t="s">
        <v>159</v>
      </c>
      <c r="D17" s="9" t="s">
        <v>159</v>
      </c>
      <c r="E17" s="9" t="s">
        <v>159</v>
      </c>
      <c r="F17" s="9" t="s">
        <v>159</v>
      </c>
      <c r="G17" s="9" t="s">
        <v>159</v>
      </c>
      <c r="H17" s="9" t="s">
        <v>159</v>
      </c>
      <c r="I17" s="9" t="s">
        <v>159</v>
      </c>
      <c r="J17" s="9" t="s">
        <v>159</v>
      </c>
      <c r="K17" s="9" t="s">
        <v>159</v>
      </c>
      <c r="L17" s="9" t="s">
        <v>159</v>
      </c>
      <c r="M17" s="9" t="s">
        <v>159</v>
      </c>
      <c r="N17" s="9" t="s">
        <v>159</v>
      </c>
      <c r="O17" s="9" t="s">
        <v>159</v>
      </c>
      <c r="P17" s="9" t="s">
        <v>159</v>
      </c>
      <c r="Q17" s="9" t="s">
        <v>159</v>
      </c>
    </row>
    <row r="18" spans="1:17" ht="30">
      <c r="A18" s="10" t="s">
        <v>147</v>
      </c>
      <c r="B18" s="13" t="s">
        <v>78</v>
      </c>
      <c r="C18" s="9" t="s">
        <v>159</v>
      </c>
      <c r="D18" s="9" t="s">
        <v>159</v>
      </c>
      <c r="E18" s="9" t="s">
        <v>159</v>
      </c>
      <c r="F18" s="9" t="s">
        <v>159</v>
      </c>
      <c r="G18" s="9" t="s">
        <v>159</v>
      </c>
      <c r="H18" s="9" t="s">
        <v>159</v>
      </c>
      <c r="I18" s="9" t="s">
        <v>159</v>
      </c>
      <c r="J18" s="9" t="s">
        <v>159</v>
      </c>
      <c r="K18" s="9" t="s">
        <v>159</v>
      </c>
      <c r="L18" s="9" t="s">
        <v>159</v>
      </c>
      <c r="M18" s="9" t="s">
        <v>159</v>
      </c>
      <c r="N18" s="9" t="s">
        <v>159</v>
      </c>
      <c r="O18" s="9" t="s">
        <v>159</v>
      </c>
      <c r="P18" s="9" t="s">
        <v>159</v>
      </c>
      <c r="Q18" s="9" t="s">
        <v>159</v>
      </c>
    </row>
    <row r="19" spans="1:17" ht="45">
      <c r="A19" s="10" t="s">
        <v>148</v>
      </c>
      <c r="B19" s="13" t="s">
        <v>70</v>
      </c>
      <c r="C19" s="9" t="s">
        <v>159</v>
      </c>
      <c r="D19" s="9" t="s">
        <v>159</v>
      </c>
      <c r="E19" s="9" t="s">
        <v>159</v>
      </c>
      <c r="F19" s="9" t="s">
        <v>159</v>
      </c>
      <c r="G19" s="9" t="s">
        <v>159</v>
      </c>
      <c r="H19" s="9" t="s">
        <v>159</v>
      </c>
      <c r="I19" s="9" t="s">
        <v>159</v>
      </c>
      <c r="J19" s="9" t="s">
        <v>159</v>
      </c>
      <c r="K19" s="9" t="s">
        <v>159</v>
      </c>
      <c r="L19" s="9" t="s">
        <v>159</v>
      </c>
      <c r="M19" s="9" t="s">
        <v>159</v>
      </c>
      <c r="N19" s="9" t="s">
        <v>159</v>
      </c>
      <c r="O19" s="9" t="s">
        <v>159</v>
      </c>
      <c r="P19" s="9" t="s">
        <v>159</v>
      </c>
      <c r="Q19" s="9" t="s">
        <v>159</v>
      </c>
    </row>
    <row r="20" spans="1:17" ht="30">
      <c r="A20" s="10" t="s">
        <v>149</v>
      </c>
      <c r="B20" s="13" t="s">
        <v>71</v>
      </c>
      <c r="C20" s="9" t="s">
        <v>159</v>
      </c>
      <c r="D20" s="9" t="s">
        <v>159</v>
      </c>
      <c r="E20" s="9" t="s">
        <v>159</v>
      </c>
      <c r="F20" s="9" t="s">
        <v>159</v>
      </c>
      <c r="G20" s="9" t="s">
        <v>159</v>
      </c>
      <c r="H20" s="9" t="s">
        <v>159</v>
      </c>
      <c r="I20" s="9" t="s">
        <v>159</v>
      </c>
      <c r="J20" s="9" t="s">
        <v>159</v>
      </c>
      <c r="K20" s="9" t="s">
        <v>159</v>
      </c>
      <c r="L20" s="9" t="s">
        <v>159</v>
      </c>
      <c r="M20" s="9" t="s">
        <v>159</v>
      </c>
      <c r="N20" s="9" t="s">
        <v>159</v>
      </c>
      <c r="O20" s="9" t="s">
        <v>159</v>
      </c>
      <c r="P20" s="9" t="s">
        <v>159</v>
      </c>
      <c r="Q20" s="9" t="s">
        <v>159</v>
      </c>
    </row>
    <row r="21" spans="1:17">
      <c r="A21" s="10" t="s">
        <v>150</v>
      </c>
      <c r="B21" s="13" t="s">
        <v>72</v>
      </c>
      <c r="C21" s="9" t="s">
        <v>159</v>
      </c>
      <c r="D21" s="9" t="s">
        <v>159</v>
      </c>
      <c r="E21" s="9" t="s">
        <v>159</v>
      </c>
      <c r="F21" s="9" t="s">
        <v>159</v>
      </c>
      <c r="G21" s="9" t="s">
        <v>159</v>
      </c>
      <c r="H21" s="9" t="s">
        <v>159</v>
      </c>
      <c r="I21" s="9" t="s">
        <v>159</v>
      </c>
      <c r="J21" s="9" t="s">
        <v>159</v>
      </c>
      <c r="K21" s="9" t="s">
        <v>159</v>
      </c>
      <c r="L21" s="9" t="s">
        <v>159</v>
      </c>
      <c r="M21" s="9" t="s">
        <v>159</v>
      </c>
      <c r="N21" s="9" t="s">
        <v>159</v>
      </c>
      <c r="O21" s="9" t="s">
        <v>159</v>
      </c>
      <c r="P21" s="9" t="s">
        <v>159</v>
      </c>
      <c r="Q21" s="9" t="s">
        <v>159</v>
      </c>
    </row>
    <row r="22" spans="1:17" ht="45">
      <c r="A22" s="10" t="s">
        <v>151</v>
      </c>
      <c r="B22" s="13" t="s">
        <v>79</v>
      </c>
      <c r="C22" s="9" t="s">
        <v>159</v>
      </c>
      <c r="D22" s="9" t="s">
        <v>159</v>
      </c>
      <c r="E22" s="9" t="s">
        <v>159</v>
      </c>
      <c r="F22" s="9" t="s">
        <v>159</v>
      </c>
      <c r="G22" s="9" t="s">
        <v>159</v>
      </c>
      <c r="H22" s="9" t="s">
        <v>159</v>
      </c>
      <c r="I22" s="9" t="s">
        <v>159</v>
      </c>
      <c r="J22" s="9" t="s">
        <v>159</v>
      </c>
      <c r="K22" s="9" t="s">
        <v>159</v>
      </c>
      <c r="L22" s="9" t="s">
        <v>159</v>
      </c>
      <c r="M22" s="9" t="s">
        <v>159</v>
      </c>
      <c r="N22" s="9" t="s">
        <v>159</v>
      </c>
      <c r="O22" s="9" t="s">
        <v>159</v>
      </c>
      <c r="P22" s="9" t="s">
        <v>159</v>
      </c>
      <c r="Q22" s="9" t="s">
        <v>159</v>
      </c>
    </row>
    <row r="23" spans="1:17">
      <c r="A23" s="10" t="s">
        <v>152</v>
      </c>
      <c r="B23" s="13" t="s">
        <v>74</v>
      </c>
      <c r="C23" s="9" t="s">
        <v>159</v>
      </c>
      <c r="D23" s="9" t="s">
        <v>159</v>
      </c>
      <c r="E23" s="9" t="s">
        <v>159</v>
      </c>
      <c r="F23" s="9" t="s">
        <v>159</v>
      </c>
      <c r="G23" s="9" t="s">
        <v>159</v>
      </c>
      <c r="H23" s="9" t="s">
        <v>159</v>
      </c>
      <c r="I23" s="9" t="s">
        <v>159</v>
      </c>
      <c r="J23" s="9" t="s">
        <v>159</v>
      </c>
      <c r="K23" s="9" t="s">
        <v>159</v>
      </c>
      <c r="L23" s="9" t="s">
        <v>159</v>
      </c>
      <c r="M23" s="9" t="s">
        <v>159</v>
      </c>
      <c r="N23" s="9" t="s">
        <v>159</v>
      </c>
      <c r="O23" s="9" t="s">
        <v>159</v>
      </c>
      <c r="P23" s="9" t="s">
        <v>159</v>
      </c>
      <c r="Q23" s="9" t="s">
        <v>159</v>
      </c>
    </row>
    <row r="24" spans="1:17">
      <c r="A24" s="10" t="s">
        <v>154</v>
      </c>
      <c r="B24" s="13" t="s">
        <v>153</v>
      </c>
      <c r="C24" s="9" t="s">
        <v>159</v>
      </c>
      <c r="D24" s="9" t="s">
        <v>159</v>
      </c>
      <c r="E24" s="9" t="s">
        <v>159</v>
      </c>
      <c r="F24" s="9" t="s">
        <v>159</v>
      </c>
      <c r="G24" s="9" t="s">
        <v>159</v>
      </c>
      <c r="H24" s="9" t="s">
        <v>159</v>
      </c>
      <c r="I24" s="9" t="s">
        <v>159</v>
      </c>
      <c r="J24" s="9" t="s">
        <v>159</v>
      </c>
      <c r="K24" s="9" t="s">
        <v>159</v>
      </c>
      <c r="L24" s="9" t="s">
        <v>159</v>
      </c>
      <c r="M24" s="9" t="s">
        <v>159</v>
      </c>
      <c r="N24" s="9" t="s">
        <v>159</v>
      </c>
      <c r="O24" s="9" t="s">
        <v>159</v>
      </c>
      <c r="P24" s="9" t="s">
        <v>159</v>
      </c>
      <c r="Q24" s="9" t="s">
        <v>159</v>
      </c>
    </row>
    <row r="25" spans="1:17" ht="30">
      <c r="A25" s="10" t="s">
        <v>155</v>
      </c>
      <c r="B25" s="13" t="s">
        <v>27</v>
      </c>
      <c r="C25" s="9" t="s">
        <v>159</v>
      </c>
      <c r="D25" s="9" t="s">
        <v>159</v>
      </c>
      <c r="E25" s="9" t="s">
        <v>159</v>
      </c>
      <c r="F25" s="9" t="s">
        <v>159</v>
      </c>
      <c r="G25" s="9" t="s">
        <v>159</v>
      </c>
      <c r="H25" s="9" t="s">
        <v>159</v>
      </c>
      <c r="I25" s="9" t="s">
        <v>159</v>
      </c>
      <c r="J25" s="9" t="s">
        <v>159</v>
      </c>
      <c r="K25" s="9" t="s">
        <v>159</v>
      </c>
      <c r="L25" s="9" t="s">
        <v>159</v>
      </c>
      <c r="M25" s="9" t="s">
        <v>159</v>
      </c>
      <c r="N25" s="9" t="s">
        <v>159</v>
      </c>
      <c r="O25" s="9" t="s">
        <v>159</v>
      </c>
      <c r="P25" s="9" t="s">
        <v>159</v>
      </c>
      <c r="Q25" s="9" t="s">
        <v>159</v>
      </c>
    </row>
    <row r="26" spans="1:17" ht="45">
      <c r="A26" s="10" t="s">
        <v>156</v>
      </c>
      <c r="B26" s="13" t="s">
        <v>80</v>
      </c>
      <c r="C26" s="9" t="s">
        <v>159</v>
      </c>
      <c r="D26" s="9" t="s">
        <v>159</v>
      </c>
      <c r="E26" s="9" t="s">
        <v>159</v>
      </c>
      <c r="F26" s="9" t="s">
        <v>159</v>
      </c>
      <c r="G26" s="9" t="s">
        <v>159</v>
      </c>
      <c r="H26" s="9" t="s">
        <v>159</v>
      </c>
      <c r="I26" s="9" t="s">
        <v>159</v>
      </c>
      <c r="J26" s="9" t="s">
        <v>159</v>
      </c>
      <c r="K26" s="9" t="s">
        <v>159</v>
      </c>
      <c r="L26" s="9" t="s">
        <v>159</v>
      </c>
      <c r="M26" s="9" t="s">
        <v>159</v>
      </c>
      <c r="N26" s="9" t="s">
        <v>159</v>
      </c>
      <c r="O26" s="9" t="s">
        <v>159</v>
      </c>
      <c r="P26" s="9" t="s">
        <v>159</v>
      </c>
      <c r="Q26" s="9" t="s">
        <v>159</v>
      </c>
    </row>
    <row r="27" spans="1:17" ht="45">
      <c r="A27" s="10" t="s">
        <v>157</v>
      </c>
      <c r="B27" s="13" t="s">
        <v>81</v>
      </c>
      <c r="C27" s="9" t="s">
        <v>159</v>
      </c>
      <c r="D27" s="9" t="s">
        <v>159</v>
      </c>
      <c r="E27" s="9" t="s">
        <v>159</v>
      </c>
      <c r="F27" s="9" t="s">
        <v>159</v>
      </c>
      <c r="G27" s="9" t="s">
        <v>159</v>
      </c>
      <c r="H27" s="9" t="s">
        <v>159</v>
      </c>
      <c r="I27" s="9" t="s">
        <v>159</v>
      </c>
      <c r="J27" s="9" t="s">
        <v>159</v>
      </c>
      <c r="K27" s="9" t="s">
        <v>159</v>
      </c>
      <c r="L27" s="9" t="s">
        <v>159</v>
      </c>
      <c r="M27" s="9" t="s">
        <v>159</v>
      </c>
      <c r="N27" s="9" t="s">
        <v>159</v>
      </c>
      <c r="O27" s="9" t="s">
        <v>159</v>
      </c>
      <c r="P27" s="9" t="s">
        <v>159</v>
      </c>
      <c r="Q27" s="9" t="s">
        <v>159</v>
      </c>
    </row>
    <row r="28" spans="1:17">
      <c r="A28" s="10" t="s">
        <v>158</v>
      </c>
      <c r="B28" s="13" t="s">
        <v>74</v>
      </c>
      <c r="C28" s="9" t="s">
        <v>159</v>
      </c>
      <c r="D28" s="9" t="s">
        <v>159</v>
      </c>
      <c r="E28" s="9" t="s">
        <v>159</v>
      </c>
      <c r="F28" s="9" t="s">
        <v>159</v>
      </c>
      <c r="G28" s="9" t="s">
        <v>159</v>
      </c>
      <c r="H28" s="9" t="s">
        <v>159</v>
      </c>
      <c r="I28" s="9" t="s">
        <v>159</v>
      </c>
      <c r="J28" s="9" t="s">
        <v>159</v>
      </c>
      <c r="K28" s="9" t="s">
        <v>159</v>
      </c>
      <c r="L28" s="9" t="s">
        <v>159</v>
      </c>
      <c r="M28" s="9" t="s">
        <v>159</v>
      </c>
      <c r="N28" s="9" t="s">
        <v>159</v>
      </c>
      <c r="O28" s="9" t="s">
        <v>159</v>
      </c>
      <c r="P28" s="9" t="s">
        <v>159</v>
      </c>
      <c r="Q28" s="9" t="s">
        <v>159</v>
      </c>
    </row>
    <row r="30" spans="1:17">
      <c r="A30" s="104" t="s">
        <v>82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5" customFormat="1" ht="159" customHeight="1">
      <c r="A31" s="10" t="s">
        <v>137</v>
      </c>
      <c r="B31" s="9" t="s">
        <v>83</v>
      </c>
      <c r="C31" s="9" t="s">
        <v>84</v>
      </c>
      <c r="D31" s="9" t="s">
        <v>85</v>
      </c>
      <c r="E31" s="9" t="s">
        <v>86</v>
      </c>
      <c r="F31" s="9" t="s">
        <v>87</v>
      </c>
      <c r="G31" s="9" t="s">
        <v>88</v>
      </c>
      <c r="H31" s="9" t="s">
        <v>89</v>
      </c>
      <c r="I31" s="9" t="s">
        <v>90</v>
      </c>
      <c r="J31" s="9" t="s">
        <v>91</v>
      </c>
      <c r="K31" s="9" t="s">
        <v>92</v>
      </c>
    </row>
    <row r="32" spans="1:17">
      <c r="A32" s="14">
        <v>1</v>
      </c>
      <c r="B32" s="9">
        <v>2</v>
      </c>
      <c r="C32" s="14">
        <v>3</v>
      </c>
      <c r="D32" s="9">
        <v>4</v>
      </c>
      <c r="E32" s="14">
        <v>5</v>
      </c>
      <c r="F32" s="9">
        <v>6</v>
      </c>
      <c r="G32" s="14">
        <v>7</v>
      </c>
      <c r="H32" s="9">
        <v>8</v>
      </c>
      <c r="I32" s="14">
        <v>9</v>
      </c>
      <c r="J32" s="9">
        <v>10</v>
      </c>
      <c r="K32" s="14">
        <v>11</v>
      </c>
    </row>
    <row r="33" spans="1:17" ht="98.25" customHeight="1">
      <c r="A33" s="10" t="s">
        <v>160</v>
      </c>
      <c r="B33" s="114" t="s">
        <v>162</v>
      </c>
      <c r="C33" s="13" t="s">
        <v>212</v>
      </c>
      <c r="D33" s="13" t="s">
        <v>163</v>
      </c>
      <c r="E33" s="13" t="s">
        <v>165</v>
      </c>
      <c r="F33" s="17" t="s">
        <v>211</v>
      </c>
      <c r="G33" s="114" t="s">
        <v>120</v>
      </c>
      <c r="H33" s="9" t="s">
        <v>159</v>
      </c>
      <c r="I33" s="9" t="s">
        <v>159</v>
      </c>
      <c r="J33" s="9" t="s">
        <v>159</v>
      </c>
      <c r="K33" s="9" t="s">
        <v>159</v>
      </c>
    </row>
    <row r="34" spans="1:17" ht="183.75" customHeight="1">
      <c r="A34" s="10" t="s">
        <v>144</v>
      </c>
      <c r="B34" s="115"/>
      <c r="C34" s="13" t="s">
        <v>213</v>
      </c>
      <c r="D34" s="116" t="s">
        <v>214</v>
      </c>
      <c r="E34" s="117"/>
      <c r="F34" s="17" t="s">
        <v>121</v>
      </c>
      <c r="G34" s="115"/>
      <c r="H34" s="9" t="s">
        <v>159</v>
      </c>
      <c r="I34" s="9" t="s">
        <v>159</v>
      </c>
      <c r="J34" s="9" t="s">
        <v>159</v>
      </c>
      <c r="K34" s="9" t="s">
        <v>159</v>
      </c>
    </row>
    <row r="36" spans="1:17">
      <c r="A36" s="104" t="s">
        <v>166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8" spans="1:17">
      <c r="A38" s="10" t="s">
        <v>137</v>
      </c>
      <c r="B38" s="9" t="s">
        <v>93</v>
      </c>
      <c r="C38" s="13"/>
      <c r="D38" s="13"/>
    </row>
    <row r="39" spans="1:17" ht="135">
      <c r="A39" s="10" t="s">
        <v>160</v>
      </c>
      <c r="B39" s="13" t="s">
        <v>167</v>
      </c>
      <c r="C39" s="13" t="s">
        <v>94</v>
      </c>
      <c r="D39" s="9" t="s">
        <v>164</v>
      </c>
    </row>
    <row r="40" spans="1:17" ht="60">
      <c r="A40" s="10" t="s">
        <v>144</v>
      </c>
      <c r="B40" s="13" t="s">
        <v>168</v>
      </c>
      <c r="C40" s="13" t="s">
        <v>95</v>
      </c>
      <c r="D40" s="9" t="s">
        <v>159</v>
      </c>
    </row>
    <row r="41" spans="1:17" ht="75">
      <c r="A41" s="10" t="s">
        <v>145</v>
      </c>
      <c r="B41" s="13" t="s">
        <v>96</v>
      </c>
      <c r="C41" s="13" t="s">
        <v>95</v>
      </c>
      <c r="D41" s="9" t="s">
        <v>159</v>
      </c>
    </row>
    <row r="42" spans="1:17" ht="90">
      <c r="A42" s="10" t="s">
        <v>148</v>
      </c>
      <c r="B42" s="13" t="s">
        <v>97</v>
      </c>
      <c r="C42" s="13" t="s">
        <v>95</v>
      </c>
      <c r="D42" s="9" t="s">
        <v>159</v>
      </c>
    </row>
    <row r="43" spans="1:17" ht="90">
      <c r="A43" s="10" t="s">
        <v>154</v>
      </c>
      <c r="B43" s="13" t="s">
        <v>98</v>
      </c>
      <c r="C43" s="13" t="s">
        <v>169</v>
      </c>
      <c r="D43" s="9" t="s">
        <v>159</v>
      </c>
    </row>
    <row r="44" spans="1:17" ht="75">
      <c r="A44" s="10" t="s">
        <v>161</v>
      </c>
      <c r="B44" s="13" t="s">
        <v>99</v>
      </c>
      <c r="C44" s="13" t="s">
        <v>169</v>
      </c>
      <c r="D44" s="9" t="s">
        <v>159</v>
      </c>
    </row>
    <row r="46" spans="1:17" s="4" customFormat="1" ht="54" customHeight="1">
      <c r="A46" s="104" t="s">
        <v>170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1:17" ht="15" customHeight="1">
      <c r="A47" s="104" t="s">
        <v>171</v>
      </c>
      <c r="B47" s="104"/>
      <c r="C47" s="104"/>
      <c r="D47" s="104"/>
      <c r="E47" s="104"/>
      <c r="F47" s="104"/>
      <c r="G47" s="104"/>
      <c r="H47" s="104"/>
      <c r="I47" s="104"/>
      <c r="J47" s="104"/>
    </row>
    <row r="49" spans="1:41">
      <c r="A49" s="104" t="s">
        <v>172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41" ht="38.25" customHeight="1">
      <c r="A50" s="104" t="s">
        <v>173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1:41">
      <c r="A51" s="110" t="s">
        <v>174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3" spans="1:41" ht="35.25" customHeight="1">
      <c r="A53" s="109" t="s">
        <v>175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1:41">
      <c r="A54" s="111" t="s">
        <v>176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6" spans="1:41">
      <c r="A56" s="109" t="s">
        <v>177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1:41">
      <c r="A57" s="110" t="s">
        <v>178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</row>
    <row r="58" spans="1:41">
      <c r="A58" s="110" t="s">
        <v>179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</row>
    <row r="60" spans="1:41">
      <c r="A60" s="104" t="s">
        <v>180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41" s="5" customFormat="1" ht="39.75" customHeight="1">
      <c r="A61" s="77" t="s">
        <v>137</v>
      </c>
      <c r="B61" s="108" t="s">
        <v>181</v>
      </c>
      <c r="C61" s="108" t="s">
        <v>182</v>
      </c>
      <c r="D61" s="108" t="s">
        <v>183</v>
      </c>
      <c r="E61" s="108" t="s">
        <v>184</v>
      </c>
      <c r="F61" s="108"/>
      <c r="G61" s="108"/>
      <c r="H61" s="108"/>
      <c r="I61" s="108" t="s">
        <v>189</v>
      </c>
      <c r="J61" s="108"/>
      <c r="K61" s="108"/>
      <c r="L61" s="108"/>
      <c r="M61" s="108"/>
      <c r="N61" s="108"/>
      <c r="O61" s="108" t="s">
        <v>195</v>
      </c>
      <c r="P61" s="108"/>
      <c r="Q61" s="108"/>
      <c r="R61" s="108"/>
      <c r="S61" s="108"/>
      <c r="T61" s="108"/>
      <c r="U61" s="108"/>
      <c r="V61" s="108" t="s">
        <v>199</v>
      </c>
      <c r="W61" s="108"/>
      <c r="X61" s="108"/>
      <c r="Y61" s="108"/>
      <c r="Z61" s="108" t="s">
        <v>203</v>
      </c>
      <c r="AA61" s="108"/>
      <c r="AB61" s="108"/>
      <c r="AC61" s="108" t="s">
        <v>207</v>
      </c>
      <c r="AD61" s="108"/>
    </row>
    <row r="62" spans="1:41" s="5" customFormat="1" ht="211.5" customHeight="1">
      <c r="A62" s="77"/>
      <c r="B62" s="108"/>
      <c r="C62" s="108"/>
      <c r="D62" s="108"/>
      <c r="E62" s="15" t="s">
        <v>185</v>
      </c>
      <c r="F62" s="15" t="s">
        <v>186</v>
      </c>
      <c r="G62" s="15" t="s">
        <v>187</v>
      </c>
      <c r="H62" s="15" t="s">
        <v>188</v>
      </c>
      <c r="I62" s="15" t="s">
        <v>190</v>
      </c>
      <c r="J62" s="15" t="s">
        <v>191</v>
      </c>
      <c r="K62" s="15" t="s">
        <v>192</v>
      </c>
      <c r="L62" s="15" t="s">
        <v>193</v>
      </c>
      <c r="M62" s="15" t="s">
        <v>194</v>
      </c>
      <c r="N62" s="15" t="s">
        <v>67</v>
      </c>
      <c r="O62" s="15" t="s">
        <v>196</v>
      </c>
      <c r="P62" s="15" t="s">
        <v>197</v>
      </c>
      <c r="Q62" s="15" t="s">
        <v>198</v>
      </c>
      <c r="R62" s="15" t="s">
        <v>192</v>
      </c>
      <c r="S62" s="15" t="s">
        <v>193</v>
      </c>
      <c r="T62" s="15" t="s">
        <v>194</v>
      </c>
      <c r="U62" s="15" t="s">
        <v>67</v>
      </c>
      <c r="V62" s="15" t="s">
        <v>200</v>
      </c>
      <c r="W62" s="15" t="s">
        <v>201</v>
      </c>
      <c r="X62" s="15" t="s">
        <v>202</v>
      </c>
      <c r="Y62" s="15" t="s">
        <v>67</v>
      </c>
      <c r="Z62" s="15" t="s">
        <v>204</v>
      </c>
      <c r="AA62" s="15" t="s">
        <v>205</v>
      </c>
      <c r="AB62" s="15" t="s">
        <v>206</v>
      </c>
      <c r="AC62" s="15" t="s">
        <v>208</v>
      </c>
      <c r="AD62" s="15" t="s">
        <v>209</v>
      </c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>
      <c r="A63" s="14">
        <v>1</v>
      </c>
      <c r="B63" s="9">
        <v>2</v>
      </c>
      <c r="C63" s="14">
        <v>3</v>
      </c>
      <c r="D63" s="9">
        <v>4</v>
      </c>
      <c r="E63" s="14">
        <v>5</v>
      </c>
      <c r="F63" s="9">
        <v>6</v>
      </c>
      <c r="G63" s="14">
        <v>7</v>
      </c>
      <c r="H63" s="9">
        <v>8</v>
      </c>
      <c r="I63" s="14">
        <v>9</v>
      </c>
      <c r="J63" s="9">
        <v>10</v>
      </c>
      <c r="K63" s="14">
        <v>11</v>
      </c>
      <c r="L63" s="9">
        <v>12</v>
      </c>
      <c r="M63" s="14">
        <v>13</v>
      </c>
      <c r="N63" s="9">
        <v>14</v>
      </c>
      <c r="O63" s="14">
        <v>15</v>
      </c>
      <c r="P63" s="9">
        <v>16</v>
      </c>
      <c r="Q63" s="14">
        <v>17</v>
      </c>
      <c r="R63" s="9">
        <v>18</v>
      </c>
      <c r="S63" s="14">
        <v>19</v>
      </c>
      <c r="T63" s="9">
        <v>20</v>
      </c>
      <c r="U63" s="14">
        <v>21</v>
      </c>
      <c r="V63" s="9">
        <v>22</v>
      </c>
      <c r="W63" s="14">
        <v>23</v>
      </c>
      <c r="X63" s="9">
        <v>24</v>
      </c>
      <c r="Y63" s="14">
        <v>25</v>
      </c>
      <c r="Z63" s="9">
        <v>26</v>
      </c>
      <c r="AA63" s="14">
        <v>27</v>
      </c>
      <c r="AB63" s="9">
        <v>28</v>
      </c>
      <c r="AC63" s="14">
        <v>29</v>
      </c>
      <c r="AD63" s="9">
        <v>30</v>
      </c>
    </row>
    <row r="64" spans="1:41">
      <c r="A64" s="10" t="s">
        <v>159</v>
      </c>
      <c r="B64" s="10" t="s">
        <v>159</v>
      </c>
      <c r="C64" s="10" t="s">
        <v>159</v>
      </c>
      <c r="D64" s="10" t="s">
        <v>159</v>
      </c>
      <c r="E64" s="10" t="s">
        <v>159</v>
      </c>
      <c r="F64" s="10" t="s">
        <v>159</v>
      </c>
      <c r="G64" s="10" t="s">
        <v>159</v>
      </c>
      <c r="H64" s="10" t="s">
        <v>159</v>
      </c>
      <c r="I64" s="10" t="s">
        <v>159</v>
      </c>
      <c r="J64" s="10" t="s">
        <v>159</v>
      </c>
      <c r="K64" s="10" t="s">
        <v>159</v>
      </c>
      <c r="L64" s="10" t="s">
        <v>159</v>
      </c>
      <c r="M64" s="10" t="s">
        <v>159</v>
      </c>
      <c r="N64" s="10" t="s">
        <v>159</v>
      </c>
      <c r="O64" s="10" t="s">
        <v>159</v>
      </c>
      <c r="P64" s="10" t="s">
        <v>159</v>
      </c>
      <c r="Q64" s="10" t="s">
        <v>159</v>
      </c>
      <c r="R64" s="10" t="s">
        <v>159</v>
      </c>
      <c r="S64" s="10" t="s">
        <v>159</v>
      </c>
      <c r="T64" s="10" t="s">
        <v>159</v>
      </c>
      <c r="U64" s="10" t="s">
        <v>159</v>
      </c>
      <c r="V64" s="10" t="s">
        <v>159</v>
      </c>
      <c r="W64" s="10" t="s">
        <v>159</v>
      </c>
      <c r="X64" s="10" t="s">
        <v>159</v>
      </c>
      <c r="Y64" s="10" t="s">
        <v>159</v>
      </c>
      <c r="Z64" s="10" t="s">
        <v>159</v>
      </c>
      <c r="AA64" s="10" t="s">
        <v>159</v>
      </c>
      <c r="AB64" s="10" t="s">
        <v>159</v>
      </c>
      <c r="AC64" s="10" t="s">
        <v>159</v>
      </c>
      <c r="AD64" s="10" t="s">
        <v>159</v>
      </c>
    </row>
    <row r="66" spans="1:12">
      <c r="A66" s="107" t="s">
        <v>210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</row>
  </sheetData>
  <mergeCells count="37"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A66:L66"/>
    <mergeCell ref="I61:N61"/>
    <mergeCell ref="O61:U61"/>
    <mergeCell ref="V61:Y61"/>
    <mergeCell ref="Z61:AB61"/>
  </mergeCells>
  <pageMargins left="0.7" right="0.7" top="0.75" bottom="0.75" header="0.3" footer="0.3"/>
  <pageSetup paperSize="9" orientation="landscape" verticalDpi="0" r:id="rId1"/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Общ. инфор.</vt:lpstr>
      <vt:lpstr>2 Показат. кач. передача</vt:lpstr>
      <vt:lpstr>3 Показатели кач. тех. прис.</vt:lpstr>
      <vt:lpstr>4 Качество обслуживания</vt:lpstr>
      <vt:lpstr>'2 Показат. кач. передача'!Область_печати</vt:lpstr>
      <vt:lpstr>'3 Показатели кач. тех. прис.'!Область_печати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2015-09-22T11:14:45Z</dcterms:modified>
</cp:coreProperties>
</file>